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autoCompressPictures="0" defaultThemeVersion="124226"/>
  <xr:revisionPtr revIDLastSave="0" documentId="13_ncr:1_{CB2BC378-9916-4696-944B-32EAF47BAD55}" xr6:coauthVersionLast="47" xr6:coauthVersionMax="47" xr10:uidLastSave="{00000000-0000-0000-0000-000000000000}"/>
  <bookViews>
    <workbookView xWindow="20370" yWindow="-120" windowWidth="29040" windowHeight="15840" activeTab="2" xr2:uid="{00000000-000D-0000-FFFF-FFFF00000000}"/>
  </bookViews>
  <sheets>
    <sheet name="Rates &amp; Constants" sheetId="8" r:id="rId1"/>
    <sheet name="Takeoff Sheet" sheetId="3" r:id="rId2"/>
    <sheet name="Pricing List for Tender" sheetId="4" r:id="rId3"/>
    <sheet name="Bill of Material" sheetId="10" r:id="rId4"/>
    <sheet name="Summary" sheetId="9" r:id="rId5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4" l="1"/>
  <c r="C12" i="4"/>
  <c r="C13" i="4"/>
  <c r="C14" i="4"/>
  <c r="C15" i="4"/>
  <c r="C20" i="4"/>
  <c r="C21" i="4"/>
  <c r="E21" i="4" s="1"/>
  <c r="C22" i="4"/>
  <c r="E22" i="4" s="1"/>
  <c r="C23" i="4"/>
  <c r="C28" i="4"/>
  <c r="C31" i="4"/>
  <c r="C34" i="4"/>
  <c r="C42" i="4"/>
  <c r="C43" i="4"/>
  <c r="C44" i="4"/>
  <c r="C45" i="4"/>
  <c r="E45" i="4" s="1"/>
  <c r="C46" i="4"/>
  <c r="C47" i="4"/>
  <c r="C48" i="4"/>
  <c r="C49" i="4"/>
  <c r="C55" i="4"/>
  <c r="C56" i="4"/>
  <c r="C59" i="4"/>
  <c r="C63" i="4"/>
  <c r="C67" i="4"/>
  <c r="C71" i="4"/>
  <c r="C76" i="4"/>
  <c r="C84" i="4"/>
  <c r="C96" i="4"/>
  <c r="C99" i="4"/>
  <c r="C102" i="4"/>
  <c r="C103" i="4"/>
  <c r="E103" i="4" s="1"/>
  <c r="C105" i="4"/>
  <c r="C106" i="4"/>
  <c r="C108" i="4"/>
  <c r="C109" i="4"/>
  <c r="C112" i="4"/>
  <c r="E112" i="4" s="1"/>
  <c r="C114" i="4"/>
  <c r="C119" i="4"/>
  <c r="C125" i="4"/>
  <c r="C126" i="4"/>
  <c r="C128" i="4"/>
  <c r="C129" i="4"/>
  <c r="C131" i="4"/>
  <c r="C132" i="4"/>
  <c r="C134" i="4"/>
  <c r="C135" i="4"/>
  <c r="C137" i="4"/>
  <c r="C138" i="4"/>
  <c r="C140" i="4"/>
  <c r="C141" i="4"/>
  <c r="C143" i="4"/>
  <c r="C144" i="4"/>
  <c r="C146" i="4"/>
  <c r="C147" i="4"/>
  <c r="E147" i="4" s="1"/>
  <c r="C149" i="4"/>
  <c r="C150" i="4"/>
  <c r="C152" i="4"/>
  <c r="C154" i="4"/>
  <c r="C158" i="4"/>
  <c r="C159" i="4"/>
  <c r="C161" i="4"/>
  <c r="C162" i="4"/>
  <c r="C167" i="4"/>
  <c r="C168" i="4"/>
  <c r="C170" i="4"/>
  <c r="C171" i="4"/>
  <c r="C174" i="4"/>
  <c r="C177" i="4"/>
  <c r="C180" i="4"/>
  <c r="C181" i="4"/>
  <c r="E181" i="4" s="1"/>
  <c r="C185" i="4"/>
  <c r="E185" i="4" s="1"/>
  <c r="C187" i="4"/>
  <c r="C189" i="4"/>
  <c r="C193" i="4"/>
  <c r="C199" i="4"/>
  <c r="C201" i="4"/>
  <c r="E201" i="4" s="1"/>
  <c r="C213" i="4"/>
  <c r="C218" i="4"/>
  <c r="C220" i="4"/>
  <c r="E220" i="4" s="1"/>
  <c r="C221" i="4"/>
  <c r="C222" i="4"/>
  <c r="C223" i="4"/>
  <c r="C224" i="4"/>
  <c r="C225" i="4"/>
  <c r="E225" i="4" s="1"/>
  <c r="C226" i="4"/>
  <c r="C230" i="4"/>
  <c r="C234" i="4"/>
  <c r="C237" i="4"/>
  <c r="C240" i="4"/>
  <c r="C241" i="4"/>
  <c r="C243" i="4"/>
  <c r="C246" i="4"/>
  <c r="C247" i="4"/>
  <c r="C249" i="4"/>
  <c r="C252" i="4"/>
  <c r="E252" i="4" s="1"/>
  <c r="C254" i="4"/>
  <c r="C256" i="4"/>
  <c r="C259" i="4"/>
  <c r="C260" i="4"/>
  <c r="C262" i="4"/>
  <c r="E262" i="4" s="1"/>
  <c r="C267" i="4"/>
  <c r="C269" i="4"/>
  <c r="E269" i="4" s="1"/>
  <c r="C271" i="4"/>
  <c r="E271" i="4" s="1"/>
  <c r="C273" i="4"/>
  <c r="C274" i="4"/>
  <c r="C275" i="4"/>
  <c r="C277" i="4"/>
  <c r="C278" i="4"/>
  <c r="E278" i="4" s="1"/>
  <c r="C282" i="4"/>
  <c r="C284" i="4"/>
  <c r="E284" i="4" s="1"/>
  <c r="C285" i="4"/>
  <c r="E285" i="4" s="1"/>
  <c r="C290" i="4"/>
  <c r="C296" i="4"/>
  <c r="C316" i="4"/>
  <c r="C318" i="4"/>
  <c r="C320" i="4"/>
  <c r="E320" i="4" s="1"/>
  <c r="C324" i="4"/>
  <c r="C328" i="4"/>
  <c r="E328" i="4" s="1"/>
  <c r="C332" i="4"/>
  <c r="E332" i="4" s="1"/>
  <c r="C334" i="4"/>
  <c r="C336" i="4"/>
  <c r="C339" i="4"/>
  <c r="C361" i="4"/>
  <c r="E378" i="4"/>
  <c r="E376" i="4"/>
  <c r="E374" i="4"/>
  <c r="E372" i="4"/>
  <c r="E370" i="4"/>
  <c r="E368" i="4"/>
  <c r="E366" i="4"/>
  <c r="E363" i="4"/>
  <c r="E361" i="4"/>
  <c r="E359" i="4"/>
  <c r="E357" i="4"/>
  <c r="E355" i="4"/>
  <c r="E353" i="4"/>
  <c r="E351" i="4"/>
  <c r="E349" i="4"/>
  <c r="E347" i="4"/>
  <c r="E345" i="4"/>
  <c r="E340" i="4"/>
  <c r="E338" i="4"/>
  <c r="E336" i="4"/>
  <c r="E334" i="4"/>
  <c r="E330" i="4"/>
  <c r="E326" i="4"/>
  <c r="E324" i="4"/>
  <c r="E322" i="4"/>
  <c r="E318" i="4"/>
  <c r="E316" i="4"/>
  <c r="E314" i="4"/>
  <c r="E312" i="4"/>
  <c r="E310" i="4"/>
  <c r="E308" i="4"/>
  <c r="E306" i="4"/>
  <c r="E304" i="4"/>
  <c r="E302" i="4"/>
  <c r="E300" i="4"/>
  <c r="E298" i="4"/>
  <c r="E296" i="4"/>
  <c r="E290" i="4"/>
  <c r="E289" i="4"/>
  <c r="E288" i="4"/>
  <c r="E287" i="4"/>
  <c r="E286" i="4"/>
  <c r="E283" i="4"/>
  <c r="E282" i="4"/>
  <c r="E281" i="4"/>
  <c r="E280" i="4"/>
  <c r="E279" i="4"/>
  <c r="E277" i="4"/>
  <c r="E276" i="4"/>
  <c r="E275" i="4"/>
  <c r="E274" i="4"/>
  <c r="E273" i="4"/>
  <c r="E272" i="4"/>
  <c r="E270" i="4"/>
  <c r="E268" i="4"/>
  <c r="E267" i="4"/>
  <c r="E266" i="4"/>
  <c r="E265" i="4"/>
  <c r="E264" i="4"/>
  <c r="E263" i="4"/>
  <c r="E261" i="4"/>
  <c r="E260" i="4"/>
  <c r="E259" i="4"/>
  <c r="E258" i="4"/>
  <c r="E256" i="4"/>
  <c r="E254" i="4"/>
  <c r="E250" i="4"/>
  <c r="E247" i="4"/>
  <c r="E244" i="4"/>
  <c r="E241" i="4"/>
  <c r="E238" i="4"/>
  <c r="E235" i="4"/>
  <c r="E231" i="4"/>
  <c r="E226" i="4"/>
  <c r="E224" i="4"/>
  <c r="E223" i="4"/>
  <c r="E222" i="4"/>
  <c r="E221" i="4"/>
  <c r="E219" i="4"/>
  <c r="E213" i="4"/>
  <c r="E211" i="4"/>
  <c r="E209" i="4"/>
  <c r="E207" i="4"/>
  <c r="E205" i="4"/>
  <c r="E203" i="4"/>
  <c r="E199" i="4"/>
  <c r="E197" i="4"/>
  <c r="E193" i="4"/>
  <c r="E191" i="4"/>
  <c r="E189" i="4"/>
  <c r="E187" i="4"/>
  <c r="E183" i="4"/>
  <c r="E178" i="4"/>
  <c r="E175" i="4"/>
  <c r="E171" i="4"/>
  <c r="E168" i="4"/>
  <c r="E162" i="4"/>
  <c r="E159" i="4"/>
  <c r="E156" i="4"/>
  <c r="E155" i="4"/>
  <c r="E152" i="4"/>
  <c r="E150" i="4"/>
  <c r="E138" i="4"/>
  <c r="E120" i="4"/>
  <c r="E115" i="4"/>
  <c r="E109" i="4"/>
  <c r="E106" i="4"/>
  <c r="E100" i="4"/>
  <c r="E97" i="4"/>
  <c r="E87" i="4"/>
  <c r="E86" i="4"/>
  <c r="E85" i="4"/>
  <c r="E82" i="4"/>
  <c r="E81" i="4"/>
  <c r="E78" i="4"/>
  <c r="E77" i="4"/>
  <c r="E74" i="4"/>
  <c r="E73" i="4"/>
  <c r="E72" i="4"/>
  <c r="E70" i="4"/>
  <c r="E69" i="4"/>
  <c r="E68" i="4"/>
  <c r="E66" i="4"/>
  <c r="E65" i="4"/>
  <c r="E64" i="4"/>
  <c r="E62" i="4"/>
  <c r="E61" i="4"/>
  <c r="E60" i="4"/>
  <c r="E58" i="4"/>
  <c r="E57" i="4"/>
  <c r="E56" i="4"/>
  <c r="E50" i="4"/>
  <c r="E48" i="4"/>
  <c r="E47" i="4"/>
  <c r="E43" i="4"/>
  <c r="E36" i="4"/>
  <c r="E37" i="4"/>
  <c r="E35" i="4"/>
  <c r="E33" i="4"/>
  <c r="E32" i="4"/>
  <c r="E30" i="4"/>
  <c r="E29" i="4"/>
  <c r="E23" i="4"/>
  <c r="E20" i="4"/>
  <c r="E12" i="4"/>
  <c r="E13" i="4"/>
  <c r="E14" i="4"/>
  <c r="E15" i="4"/>
  <c r="E11" i="4"/>
  <c r="B249" i="4"/>
  <c r="L225" i="3"/>
  <c r="B21" i="10"/>
  <c r="B10" i="10"/>
  <c r="B9" i="10"/>
  <c r="B151" i="10"/>
  <c r="B133" i="10"/>
  <c r="C76" i="10" l="1"/>
  <c r="C72" i="10"/>
  <c r="C71" i="10"/>
  <c r="C55" i="10"/>
  <c r="C54" i="10"/>
  <c r="D41" i="10"/>
  <c r="D34" i="10"/>
  <c r="D20" i="10"/>
  <c r="C15" i="10"/>
  <c r="L41" i="3"/>
  <c r="L46" i="3"/>
  <c r="J45" i="3"/>
  <c r="L45" i="3" s="1"/>
  <c r="G45" i="3"/>
  <c r="I43" i="3"/>
  <c r="L43" i="3" s="1"/>
  <c r="B153" i="10" l="1"/>
  <c r="D152" i="10"/>
  <c r="B152" i="10"/>
  <c r="D151" i="10"/>
  <c r="C151" i="10"/>
  <c r="D144" i="10"/>
  <c r="B144" i="10"/>
  <c r="D143" i="10"/>
  <c r="C143" i="10"/>
  <c r="B143" i="10"/>
  <c r="D142" i="10"/>
  <c r="B142" i="10"/>
  <c r="D141" i="10"/>
  <c r="B141" i="10"/>
  <c r="D140" i="10"/>
  <c r="B140" i="10"/>
  <c r="D139" i="10"/>
  <c r="B139" i="10"/>
  <c r="D138" i="10"/>
  <c r="B138" i="10"/>
  <c r="D137" i="10"/>
  <c r="B137" i="10"/>
  <c r="D136" i="10"/>
  <c r="B136" i="10"/>
  <c r="D135" i="10"/>
  <c r="B135" i="10"/>
  <c r="B134" i="10"/>
  <c r="C133" i="10"/>
  <c r="D132" i="10"/>
  <c r="C132" i="10"/>
  <c r="B132" i="10"/>
  <c r="D131" i="10"/>
  <c r="C131" i="10"/>
  <c r="B131" i="10"/>
  <c r="D130" i="10"/>
  <c r="C130" i="10"/>
  <c r="B130" i="10"/>
  <c r="D129" i="10"/>
  <c r="B129" i="10"/>
  <c r="D128" i="10"/>
  <c r="C128" i="10"/>
  <c r="B128" i="10"/>
  <c r="D127" i="10"/>
  <c r="B127" i="10"/>
  <c r="D126" i="10"/>
  <c r="C126" i="10"/>
  <c r="B126" i="10"/>
  <c r="D125" i="10"/>
  <c r="B125" i="10"/>
  <c r="D124" i="10"/>
  <c r="C124" i="10"/>
  <c r="B124" i="10"/>
  <c r="D123" i="10"/>
  <c r="C123" i="10"/>
  <c r="B123" i="10"/>
  <c r="D122" i="10"/>
  <c r="C122" i="10"/>
  <c r="B122" i="10"/>
  <c r="D121" i="10"/>
  <c r="B121" i="10"/>
  <c r="D120" i="10"/>
  <c r="B120" i="10"/>
  <c r="D119" i="10"/>
  <c r="B119" i="10"/>
  <c r="D118" i="10"/>
  <c r="B118" i="10"/>
  <c r="D117" i="10"/>
  <c r="B117" i="10"/>
  <c r="D116" i="10"/>
  <c r="B116" i="10"/>
  <c r="D115" i="10"/>
  <c r="B115" i="10"/>
  <c r="D114" i="10"/>
  <c r="B114" i="10"/>
  <c r="D113" i="10"/>
  <c r="C113" i="10"/>
  <c r="B113" i="10"/>
  <c r="C112" i="10"/>
  <c r="B110" i="10"/>
  <c r="B109" i="10"/>
  <c r="B108" i="10"/>
  <c r="C107" i="10"/>
  <c r="B107" i="10"/>
  <c r="C106" i="10"/>
  <c r="B106" i="10"/>
  <c r="B105" i="10"/>
  <c r="C104" i="10"/>
  <c r="B104" i="10"/>
  <c r="B103" i="10"/>
  <c r="B102" i="10"/>
  <c r="B101" i="10"/>
  <c r="C100" i="10"/>
  <c r="B100" i="10"/>
  <c r="C99" i="10"/>
  <c r="B99" i="10"/>
  <c r="B98" i="10"/>
  <c r="C97" i="10"/>
  <c r="B97" i="10"/>
  <c r="C96" i="10"/>
  <c r="B96" i="10"/>
  <c r="C95" i="10"/>
  <c r="B95" i="10"/>
  <c r="B94" i="10"/>
  <c r="C93" i="10"/>
  <c r="B93" i="10"/>
  <c r="B92" i="10"/>
  <c r="C91" i="10"/>
  <c r="B91" i="10"/>
  <c r="B90" i="10"/>
  <c r="C89" i="10"/>
  <c r="B89" i="10"/>
  <c r="B88" i="10"/>
  <c r="B87" i="10"/>
  <c r="B86" i="10"/>
  <c r="B85" i="10"/>
  <c r="C84" i="10"/>
  <c r="B84" i="10"/>
  <c r="B83" i="10"/>
  <c r="C82" i="10"/>
  <c r="B82" i="10"/>
  <c r="C81" i="10"/>
  <c r="B81" i="10"/>
  <c r="D80" i="10"/>
  <c r="B80" i="10"/>
  <c r="D79" i="10"/>
  <c r="C79" i="10"/>
  <c r="B79" i="10"/>
  <c r="D78" i="10"/>
  <c r="C78" i="10"/>
  <c r="B78" i="10"/>
  <c r="D77" i="10"/>
  <c r="C77" i="10"/>
  <c r="B77" i="10"/>
  <c r="B76" i="10"/>
  <c r="B75" i="10"/>
  <c r="B74" i="10"/>
  <c r="B73" i="10"/>
  <c r="B72" i="10"/>
  <c r="B71" i="10"/>
  <c r="D70" i="10"/>
  <c r="B70" i="10"/>
  <c r="D69" i="10"/>
  <c r="C69" i="10"/>
  <c r="B69" i="10"/>
  <c r="D68" i="10"/>
  <c r="C68" i="10"/>
  <c r="B68" i="10"/>
  <c r="D67" i="10"/>
  <c r="C67" i="10"/>
  <c r="B67" i="10"/>
  <c r="D66" i="10"/>
  <c r="C66" i="10"/>
  <c r="B66" i="10"/>
  <c r="D65" i="10"/>
  <c r="B65" i="10"/>
  <c r="D64" i="10"/>
  <c r="B64" i="10"/>
  <c r="D63" i="10"/>
  <c r="B63" i="10"/>
  <c r="D62" i="10"/>
  <c r="B62" i="10"/>
  <c r="D61" i="10"/>
  <c r="C61" i="10"/>
  <c r="D60" i="10"/>
  <c r="B60" i="10"/>
  <c r="D59" i="10"/>
  <c r="B59" i="10"/>
  <c r="D58" i="10"/>
  <c r="B58" i="10"/>
  <c r="D56" i="10"/>
  <c r="B56" i="10"/>
  <c r="D55" i="10"/>
  <c r="B55" i="10"/>
  <c r="D54" i="10"/>
  <c r="B54" i="10"/>
  <c r="D53" i="10"/>
  <c r="B53" i="10"/>
  <c r="C52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39" i="10"/>
  <c r="B38" i="10"/>
  <c r="A38" i="10"/>
  <c r="B36" i="10"/>
  <c r="B35" i="10"/>
  <c r="A35" i="10"/>
  <c r="B34" i="10"/>
  <c r="B31" i="10"/>
  <c r="A31" i="10"/>
  <c r="B29" i="10"/>
  <c r="B28" i="10"/>
  <c r="A28" i="10"/>
  <c r="D26" i="10"/>
  <c r="B26" i="10"/>
  <c r="D25" i="10"/>
  <c r="B25" i="10"/>
  <c r="A25" i="10"/>
  <c r="B22" i="10"/>
  <c r="A22" i="10"/>
  <c r="B20" i="10"/>
  <c r="D19" i="10"/>
  <c r="B19" i="10"/>
  <c r="D18" i="10"/>
  <c r="B18" i="10"/>
  <c r="D17" i="10"/>
  <c r="B17" i="10"/>
  <c r="D16" i="10"/>
  <c r="B16" i="10"/>
  <c r="D15" i="10"/>
  <c r="B15" i="10"/>
  <c r="D14" i="10"/>
  <c r="B14" i="10"/>
  <c r="D13" i="10"/>
  <c r="B13" i="10"/>
  <c r="D12" i="10"/>
  <c r="B12" i="10"/>
  <c r="D11" i="10"/>
  <c r="B11" i="10"/>
  <c r="D10" i="10"/>
  <c r="D9" i="10"/>
  <c r="F6" i="10"/>
  <c r="B6" i="10"/>
  <c r="B5" i="10"/>
  <c r="F4" i="10"/>
  <c r="B4" i="10"/>
  <c r="F378" i="4" l="1"/>
  <c r="B378" i="4"/>
  <c r="A376" i="4"/>
  <c r="A374" i="4"/>
  <c r="A372" i="4"/>
  <c r="A370" i="4"/>
  <c r="A368" i="4"/>
  <c r="A366" i="4"/>
  <c r="A378" i="4"/>
  <c r="B334" i="4"/>
  <c r="A152" i="4"/>
  <c r="B115" i="4" l="1"/>
  <c r="F114" i="4"/>
  <c r="F87" i="4"/>
  <c r="F86" i="4"/>
  <c r="F85" i="4"/>
  <c r="B70" i="4"/>
  <c r="B87" i="4" s="1"/>
  <c r="B69" i="4"/>
  <c r="B86" i="4" s="1"/>
  <c r="B72" i="4"/>
  <c r="B85" i="4" s="1"/>
  <c r="F84" i="4"/>
  <c r="B84" i="4"/>
  <c r="A84" i="4"/>
  <c r="F78" i="4"/>
  <c r="B74" i="4"/>
  <c r="B78" i="4" s="1"/>
  <c r="F77" i="4"/>
  <c r="F76" i="4"/>
  <c r="B76" i="4"/>
  <c r="A76" i="4"/>
  <c r="F74" i="4"/>
  <c r="F73" i="4"/>
  <c r="F72" i="4"/>
  <c r="F71" i="4"/>
  <c r="B73" i="4"/>
  <c r="B71" i="4"/>
  <c r="A71" i="4"/>
  <c r="G79" i="3"/>
  <c r="I79" i="3" s="1"/>
  <c r="L79" i="3" s="1"/>
  <c r="G69" i="3"/>
  <c r="I69" i="3" s="1"/>
  <c r="K69" i="3" s="1"/>
  <c r="L69" i="3" s="1"/>
  <c r="N69" i="3" s="1"/>
  <c r="L70" i="3" s="1"/>
  <c r="G111" i="3"/>
  <c r="L111" i="3" s="1"/>
  <c r="M111" i="3" s="1"/>
  <c r="N111" i="3" s="1"/>
  <c r="G104" i="3"/>
  <c r="L104" i="3" s="1"/>
  <c r="M104" i="3" s="1"/>
  <c r="N104" i="3" s="1"/>
  <c r="L105" i="3"/>
  <c r="M105" i="3" s="1"/>
  <c r="N105" i="3" s="1"/>
  <c r="G97" i="3"/>
  <c r="L97" i="3" s="1"/>
  <c r="N97" i="3" s="1"/>
  <c r="L98" i="3" s="1"/>
  <c r="G94" i="3"/>
  <c r="L94" i="3" s="1"/>
  <c r="N94" i="3" s="1"/>
  <c r="L91" i="3"/>
  <c r="G88" i="3"/>
  <c r="G85" i="3"/>
  <c r="L85" i="3" s="1"/>
  <c r="N85" i="3" s="1"/>
  <c r="G73" i="3"/>
  <c r="I73" i="3" s="1"/>
  <c r="K73" i="3" s="1"/>
  <c r="L73" i="3" s="1"/>
  <c r="N73" i="3" s="1"/>
  <c r="G65" i="3"/>
  <c r="I65" i="3" s="1"/>
  <c r="K65" i="3" s="1"/>
  <c r="L65" i="3" s="1"/>
  <c r="N65" i="3" s="1"/>
  <c r="I61" i="3"/>
  <c r="K61" i="3" s="1"/>
  <c r="L61" i="3" s="1"/>
  <c r="N61" i="3" s="1"/>
  <c r="G57" i="3"/>
  <c r="I57" i="3" s="1"/>
  <c r="K57" i="3" s="1"/>
  <c r="L57" i="3" s="1"/>
  <c r="N57" i="3" s="1"/>
  <c r="G53" i="3"/>
  <c r="I53" i="3" s="1"/>
  <c r="K53" i="3" s="1"/>
  <c r="L53" i="3" s="1"/>
  <c r="N53" i="3" s="1"/>
  <c r="G11" i="4"/>
  <c r="G12" i="4"/>
  <c r="G13" i="4"/>
  <c r="G14" i="4"/>
  <c r="G15" i="4"/>
  <c r="G20" i="4"/>
  <c r="G21" i="4"/>
  <c r="G22" i="4"/>
  <c r="G23" i="4"/>
  <c r="L26" i="3"/>
  <c r="N26" i="3" s="1"/>
  <c r="L29" i="3"/>
  <c r="N29" i="3" s="1"/>
  <c r="L32" i="3"/>
  <c r="N32" i="3" s="1"/>
  <c r="L40" i="3"/>
  <c r="N40" i="3" s="1"/>
  <c r="L42" i="3"/>
  <c r="N42" i="3" s="1"/>
  <c r="L44" i="3"/>
  <c r="N44" i="3" s="1"/>
  <c r="L47" i="3"/>
  <c r="N47" i="3" s="1"/>
  <c r="N78" i="3"/>
  <c r="L88" i="3"/>
  <c r="N88" i="3" s="1"/>
  <c r="N91" i="3"/>
  <c r="L92" i="3" s="1"/>
  <c r="L100" i="3"/>
  <c r="N100" i="3" s="1"/>
  <c r="N101" i="3" s="1"/>
  <c r="L120" i="3"/>
  <c r="N120" i="3" s="1"/>
  <c r="L123" i="3"/>
  <c r="N123" i="3" s="1"/>
  <c r="L126" i="3"/>
  <c r="N126" i="3" s="1"/>
  <c r="L129" i="3"/>
  <c r="N129" i="3" s="1"/>
  <c r="C31" i="10" s="1"/>
  <c r="C32" i="10" s="1"/>
  <c r="D134" i="3"/>
  <c r="F134" i="3"/>
  <c r="L136" i="3"/>
  <c r="N136" i="3" s="1"/>
  <c r="L139" i="3"/>
  <c r="N139" i="3" s="1"/>
  <c r="C38" i="10" s="1"/>
  <c r="G143" i="3"/>
  <c r="N143" i="3" s="1"/>
  <c r="D146" i="3"/>
  <c r="E146" i="3"/>
  <c r="G146" i="3" s="1"/>
  <c r="N146" i="3" s="1"/>
  <c r="D147" i="3"/>
  <c r="E147" i="3"/>
  <c r="D148" i="3"/>
  <c r="E148" i="3"/>
  <c r="G148" i="3" s="1"/>
  <c r="N148" i="3" s="1"/>
  <c r="D149" i="3"/>
  <c r="E149" i="3"/>
  <c r="D150" i="3"/>
  <c r="E150" i="3"/>
  <c r="D153" i="3"/>
  <c r="G153" i="3" s="1"/>
  <c r="N153" i="3" s="1"/>
  <c r="D154" i="3"/>
  <c r="G154" i="3" s="1"/>
  <c r="N154" i="3" s="1"/>
  <c r="F158" i="3"/>
  <c r="H158" i="3" s="1"/>
  <c r="L158" i="3" s="1"/>
  <c r="G158" i="3"/>
  <c r="I158" i="3" s="1"/>
  <c r="E159" i="3"/>
  <c r="G159" i="3" s="1"/>
  <c r="N159" i="3" s="1"/>
  <c r="G162" i="3"/>
  <c r="N162" i="3" s="1"/>
  <c r="I169" i="3"/>
  <c r="C169" i="3"/>
  <c r="L172" i="3"/>
  <c r="N172" i="3" s="1"/>
  <c r="I177" i="3"/>
  <c r="C177" i="3"/>
  <c r="L182" i="3"/>
  <c r="N182" i="3" s="1"/>
  <c r="N189" i="3"/>
  <c r="D192" i="3"/>
  <c r="I192" i="3" s="1"/>
  <c r="E192" i="3"/>
  <c r="E195" i="3"/>
  <c r="D195" i="3"/>
  <c r="F195" i="3"/>
  <c r="L220" i="3"/>
  <c r="F225" i="3"/>
  <c r="E225" i="3"/>
  <c r="D225" i="3"/>
  <c r="G225" i="3"/>
  <c r="H225" i="3"/>
  <c r="F226" i="3"/>
  <c r="E226" i="3"/>
  <c r="D226" i="3"/>
  <c r="G226" i="3"/>
  <c r="H226" i="3"/>
  <c r="F227" i="3"/>
  <c r="E227" i="3"/>
  <c r="D227" i="3"/>
  <c r="G227" i="3"/>
  <c r="H227" i="3"/>
  <c r="F228" i="3"/>
  <c r="E228" i="3"/>
  <c r="D228" i="3"/>
  <c r="G228" i="3"/>
  <c r="H228" i="3"/>
  <c r="N245" i="3"/>
  <c r="L328" i="3"/>
  <c r="N328" i="3" s="1"/>
  <c r="L329" i="3"/>
  <c r="N329" i="3" s="1"/>
  <c r="F26" i="9"/>
  <c r="B26" i="9"/>
  <c r="A26" i="9"/>
  <c r="G236" i="3"/>
  <c r="L236" i="3" s="1"/>
  <c r="N236" i="3" s="1"/>
  <c r="M236" i="3" s="1"/>
  <c r="B272" i="4"/>
  <c r="M248" i="3"/>
  <c r="M245" i="3"/>
  <c r="M251" i="3"/>
  <c r="G251" i="3"/>
  <c r="D152" i="3"/>
  <c r="F152" i="3"/>
  <c r="N77" i="3"/>
  <c r="L133" i="3"/>
  <c r="N133" i="3" s="1"/>
  <c r="L142" i="3"/>
  <c r="N142" i="3" s="1"/>
  <c r="L145" i="3"/>
  <c r="N145" i="3" s="1"/>
  <c r="L159" i="3"/>
  <c r="L161" i="3"/>
  <c r="N161" i="3" s="1"/>
  <c r="L164" i="3"/>
  <c r="N164" i="3" s="1"/>
  <c r="L169" i="3"/>
  <c r="L176" i="3"/>
  <c r="N176" i="3" s="1"/>
  <c r="L179" i="3"/>
  <c r="N179" i="3" s="1"/>
  <c r="L185" i="3"/>
  <c r="N186" i="3"/>
  <c r="L188" i="3"/>
  <c r="L191" i="3"/>
  <c r="N191" i="3" s="1"/>
  <c r="L192" i="3" s="1"/>
  <c r="L194" i="3"/>
  <c r="N194" i="3" s="1"/>
  <c r="L195" i="3" s="1"/>
  <c r="L197" i="3"/>
  <c r="L200" i="3"/>
  <c r="N200" i="3" s="1"/>
  <c r="L212" i="3"/>
  <c r="L226" i="3"/>
  <c r="L227" i="3"/>
  <c r="L228" i="3"/>
  <c r="L229" i="3"/>
  <c r="L230" i="3"/>
  <c r="L231" i="3"/>
  <c r="L232" i="3"/>
  <c r="L238" i="3"/>
  <c r="N238" i="3" s="1"/>
  <c r="L241" i="3"/>
  <c r="N241" i="3" s="1"/>
  <c r="L244" i="3"/>
  <c r="N244" i="3" s="1"/>
  <c r="L247" i="3"/>
  <c r="N247" i="3" s="1"/>
  <c r="L248" i="3" s="1"/>
  <c r="L250" i="3"/>
  <c r="N250" i="3" s="1"/>
  <c r="L253" i="3"/>
  <c r="N253" i="3" s="1"/>
  <c r="L256" i="3"/>
  <c r="L257" i="3"/>
  <c r="L258" i="3"/>
  <c r="L259" i="3"/>
  <c r="L294" i="3"/>
  <c r="L295" i="3"/>
  <c r="L296" i="3"/>
  <c r="L297" i="3"/>
  <c r="L298" i="3"/>
  <c r="L300" i="3"/>
  <c r="L301" i="3"/>
  <c r="L302" i="3"/>
  <c r="L303" i="3"/>
  <c r="L304" i="3" s="1"/>
  <c r="L305" i="3"/>
  <c r="L306" i="3"/>
  <c r="L307" i="3"/>
  <c r="L308" i="3"/>
  <c r="L309" i="3"/>
  <c r="L310" i="3"/>
  <c r="L311" i="3"/>
  <c r="L312" i="3"/>
  <c r="L313" i="3"/>
  <c r="N299" i="3"/>
  <c r="L318" i="3"/>
  <c r="L319" i="3"/>
  <c r="L320" i="3"/>
  <c r="L321" i="3"/>
  <c r="L322" i="3"/>
  <c r="L323" i="3"/>
  <c r="L324" i="3"/>
  <c r="L325" i="3"/>
  <c r="L326" i="3"/>
  <c r="L327" i="3"/>
  <c r="N327" i="3" s="1"/>
  <c r="L334" i="3"/>
  <c r="L31" i="3"/>
  <c r="M31" i="3" s="1"/>
  <c r="N31" i="3" s="1"/>
  <c r="B274" i="4"/>
  <c r="A274" i="4"/>
  <c r="B273" i="4"/>
  <c r="A273" i="4"/>
  <c r="L275" i="3"/>
  <c r="L274" i="3"/>
  <c r="B25" i="9"/>
  <c r="A25" i="9"/>
  <c r="L340" i="3"/>
  <c r="L339" i="3"/>
  <c r="N339" i="3" s="1"/>
  <c r="F213" i="4"/>
  <c r="A290" i="4"/>
  <c r="L291" i="3"/>
  <c r="L290" i="3"/>
  <c r="F119" i="4"/>
  <c r="L204" i="3"/>
  <c r="L206" i="3"/>
  <c r="L208" i="3"/>
  <c r="L214" i="3"/>
  <c r="L216" i="3"/>
  <c r="L218" i="3"/>
  <c r="L335" i="3"/>
  <c r="L333" i="3"/>
  <c r="L332" i="3"/>
  <c r="L331" i="3"/>
  <c r="L330" i="3"/>
  <c r="B340" i="4"/>
  <c r="A340" i="4"/>
  <c r="B338" i="4"/>
  <c r="A338" i="4"/>
  <c r="L315" i="3"/>
  <c r="B288" i="4"/>
  <c r="A288" i="4"/>
  <c r="B287" i="4"/>
  <c r="A287" i="4"/>
  <c r="B286" i="4"/>
  <c r="A286" i="4"/>
  <c r="B285" i="4"/>
  <c r="A285" i="4"/>
  <c r="B284" i="4"/>
  <c r="A284" i="4"/>
  <c r="B283" i="4"/>
  <c r="A283" i="4"/>
  <c r="B282" i="4"/>
  <c r="A282" i="4"/>
  <c r="B281" i="4"/>
  <c r="A281" i="4"/>
  <c r="B280" i="4"/>
  <c r="A280" i="4"/>
  <c r="B279" i="4"/>
  <c r="A279" i="4"/>
  <c r="B278" i="4"/>
  <c r="A278" i="4"/>
  <c r="B277" i="4"/>
  <c r="A277" i="4"/>
  <c r="B276" i="4"/>
  <c r="A276" i="4"/>
  <c r="B275" i="4"/>
  <c r="A275" i="4"/>
  <c r="A272" i="4"/>
  <c r="B271" i="4"/>
  <c r="A271" i="4"/>
  <c r="B270" i="4"/>
  <c r="A270" i="4"/>
  <c r="B269" i="4"/>
  <c r="A269" i="4"/>
  <c r="B268" i="4"/>
  <c r="A268" i="4"/>
  <c r="B267" i="4"/>
  <c r="A267" i="4"/>
  <c r="B266" i="4"/>
  <c r="A266" i="4"/>
  <c r="B265" i="4"/>
  <c r="A265" i="4"/>
  <c r="B264" i="4"/>
  <c r="A264" i="4"/>
  <c r="B263" i="4"/>
  <c r="A263" i="4"/>
  <c r="B262" i="4"/>
  <c r="A262" i="4"/>
  <c r="B261" i="4"/>
  <c r="A261" i="4"/>
  <c r="B260" i="4"/>
  <c r="A260" i="4"/>
  <c r="B259" i="4"/>
  <c r="A259" i="4"/>
  <c r="B193" i="4"/>
  <c r="A193" i="4"/>
  <c r="B191" i="4"/>
  <c r="A191" i="4"/>
  <c r="B189" i="4"/>
  <c r="A189" i="4"/>
  <c r="B187" i="4"/>
  <c r="A187" i="4"/>
  <c r="B185" i="4"/>
  <c r="A185" i="4"/>
  <c r="B183" i="4"/>
  <c r="A183" i="4"/>
  <c r="B181" i="4"/>
  <c r="F174" i="4"/>
  <c r="F180" i="4" s="1"/>
  <c r="B180" i="4"/>
  <c r="A180" i="4"/>
  <c r="A161" i="4"/>
  <c r="B144" i="4"/>
  <c r="B143" i="4"/>
  <c r="A143" i="4"/>
  <c r="B141" i="4"/>
  <c r="B140" i="4"/>
  <c r="A140" i="4"/>
  <c r="B134" i="4"/>
  <c r="A134" i="4"/>
  <c r="B132" i="4"/>
  <c r="B131" i="4"/>
  <c r="A131" i="4"/>
  <c r="B125" i="4"/>
  <c r="A125" i="4"/>
  <c r="F82" i="4"/>
  <c r="B82" i="4"/>
  <c r="L314" i="3"/>
  <c r="L289" i="3"/>
  <c r="L288" i="3"/>
  <c r="L287" i="3"/>
  <c r="L286" i="3"/>
  <c r="L285" i="3"/>
  <c r="L284" i="3"/>
  <c r="L283" i="3"/>
  <c r="L282" i="3"/>
  <c r="L281" i="3"/>
  <c r="L280" i="3"/>
  <c r="L279" i="3"/>
  <c r="L278" i="3"/>
  <c r="L277" i="3"/>
  <c r="L276" i="3"/>
  <c r="L266" i="3"/>
  <c r="L265" i="3"/>
  <c r="L273" i="3"/>
  <c r="L272" i="3"/>
  <c r="L271" i="3"/>
  <c r="L264" i="3"/>
  <c r="L270" i="3"/>
  <c r="L269" i="3"/>
  <c r="L268" i="3"/>
  <c r="L267" i="3"/>
  <c r="L263" i="3"/>
  <c r="L262" i="3"/>
  <c r="L261" i="3"/>
  <c r="L260" i="3"/>
  <c r="L170" i="3"/>
  <c r="M170" i="3" s="1"/>
  <c r="O129" i="3"/>
  <c r="L168" i="3"/>
  <c r="N168" i="3" s="1"/>
  <c r="B166" i="4"/>
  <c r="B18" i="9" s="1"/>
  <c r="A166" i="4"/>
  <c r="A18" i="9" s="1"/>
  <c r="C10" i="9"/>
  <c r="B24" i="9"/>
  <c r="A24" i="9"/>
  <c r="B23" i="9"/>
  <c r="A23" i="9"/>
  <c r="B22" i="9"/>
  <c r="A22" i="9"/>
  <c r="B21" i="9"/>
  <c r="A21" i="9"/>
  <c r="B20" i="9"/>
  <c r="A20" i="9"/>
  <c r="B19" i="9"/>
  <c r="A19" i="9"/>
  <c r="B17" i="9"/>
  <c r="A17" i="9"/>
  <c r="B16" i="9"/>
  <c r="A16" i="9"/>
  <c r="B15" i="9"/>
  <c r="A15" i="9"/>
  <c r="B14" i="9"/>
  <c r="A14" i="9"/>
  <c r="B13" i="9"/>
  <c r="A13" i="9"/>
  <c r="B12" i="9"/>
  <c r="A12" i="9"/>
  <c r="B11" i="9"/>
  <c r="A11" i="9"/>
  <c r="B10" i="9"/>
  <c r="A10" i="9"/>
  <c r="F6" i="9"/>
  <c r="B6" i="9"/>
  <c r="F5" i="9"/>
  <c r="B5" i="9"/>
  <c r="F4" i="9"/>
  <c r="B4" i="9"/>
  <c r="F156" i="4"/>
  <c r="F158" i="4"/>
  <c r="B158" i="4"/>
  <c r="A158" i="4"/>
  <c r="B54" i="4"/>
  <c r="A54" i="4"/>
  <c r="F347" i="4"/>
  <c r="F349" i="4"/>
  <c r="F351" i="4"/>
  <c r="F353" i="4"/>
  <c r="F355" i="4"/>
  <c r="F357" i="4"/>
  <c r="F359" i="4"/>
  <c r="F361" i="4"/>
  <c r="F363" i="4"/>
  <c r="B347" i="4"/>
  <c r="B349" i="4"/>
  <c r="B351" i="4"/>
  <c r="B353" i="4"/>
  <c r="B355" i="4"/>
  <c r="B357" i="4"/>
  <c r="B359" i="4"/>
  <c r="B361" i="4"/>
  <c r="B363" i="4"/>
  <c r="A347" i="4"/>
  <c r="A349" i="4"/>
  <c r="A351" i="4"/>
  <c r="A353" i="4"/>
  <c r="A355" i="4"/>
  <c r="A357" i="4"/>
  <c r="A359" i="4"/>
  <c r="A361" i="4"/>
  <c r="A363" i="4"/>
  <c r="F318" i="4"/>
  <c r="F320" i="4"/>
  <c r="F322" i="4"/>
  <c r="F324" i="4"/>
  <c r="F326" i="4"/>
  <c r="F328" i="4"/>
  <c r="F330" i="4"/>
  <c r="F332" i="4"/>
  <c r="F334" i="4"/>
  <c r="F336" i="4"/>
  <c r="F345" i="4"/>
  <c r="B318" i="4"/>
  <c r="B320" i="4"/>
  <c r="B322" i="4"/>
  <c r="B324" i="4"/>
  <c r="B326" i="4"/>
  <c r="B328" i="4"/>
  <c r="B330" i="4"/>
  <c r="B332" i="4"/>
  <c r="B336" i="4"/>
  <c r="B344" i="4"/>
  <c r="B345" i="4"/>
  <c r="A318" i="4"/>
  <c r="A320" i="4"/>
  <c r="A322" i="4"/>
  <c r="A324" i="4"/>
  <c r="A326" i="4"/>
  <c r="A328" i="4"/>
  <c r="A330" i="4"/>
  <c r="A332" i="4"/>
  <c r="A334" i="4"/>
  <c r="A336" i="4"/>
  <c r="A343" i="4"/>
  <c r="A344" i="4"/>
  <c r="A345" i="4"/>
  <c r="F258" i="4"/>
  <c r="F296" i="4"/>
  <c r="F298" i="4"/>
  <c r="F300" i="4"/>
  <c r="F302" i="4"/>
  <c r="F306" i="4"/>
  <c r="F308" i="4"/>
  <c r="F310" i="4"/>
  <c r="F312" i="4"/>
  <c r="F314" i="4"/>
  <c r="F316" i="4"/>
  <c r="B258" i="4"/>
  <c r="B295" i="4"/>
  <c r="B296" i="4"/>
  <c r="B298" i="4"/>
  <c r="B300" i="4"/>
  <c r="B302" i="4"/>
  <c r="B306" i="4"/>
  <c r="B308" i="4"/>
  <c r="B310" i="4"/>
  <c r="B312" i="4"/>
  <c r="B314" i="4"/>
  <c r="B316" i="4"/>
  <c r="A258" i="4"/>
  <c r="A294" i="4"/>
  <c r="A295" i="4"/>
  <c r="A296" i="4"/>
  <c r="A298" i="4"/>
  <c r="A300" i="4"/>
  <c r="A302" i="4"/>
  <c r="A306" i="4"/>
  <c r="A308" i="4"/>
  <c r="A310" i="4"/>
  <c r="A312" i="4"/>
  <c r="A314" i="4"/>
  <c r="A316" i="4"/>
  <c r="F234" i="4"/>
  <c r="F235" i="4"/>
  <c r="D71" i="10" s="1"/>
  <c r="F237" i="4"/>
  <c r="F238" i="4"/>
  <c r="D72" i="10" s="1"/>
  <c r="F240" i="4"/>
  <c r="F241" i="4"/>
  <c r="D73" i="10" s="1"/>
  <c r="F243" i="4"/>
  <c r="F244" i="4"/>
  <c r="D74" i="10" s="1"/>
  <c r="F246" i="4"/>
  <c r="F247" i="4"/>
  <c r="D75" i="10" s="1"/>
  <c r="F249" i="4"/>
  <c r="F250" i="4"/>
  <c r="D76" i="10" s="1"/>
  <c r="F252" i="4"/>
  <c r="F254" i="4"/>
  <c r="F256" i="4"/>
  <c r="B234" i="4"/>
  <c r="B237" i="4"/>
  <c r="B240" i="4"/>
  <c r="B252" i="4"/>
  <c r="B254" i="4"/>
  <c r="B256" i="4"/>
  <c r="A232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4" i="4"/>
  <c r="A256" i="4"/>
  <c r="F207" i="4"/>
  <c r="F209" i="4"/>
  <c r="F211" i="4"/>
  <c r="F218" i="4"/>
  <c r="F219" i="4"/>
  <c r="F220" i="4"/>
  <c r="F221" i="4"/>
  <c r="F222" i="4"/>
  <c r="F223" i="4"/>
  <c r="F224" i="4"/>
  <c r="F225" i="4"/>
  <c r="F226" i="4"/>
  <c r="F230" i="4"/>
  <c r="F231" i="4"/>
  <c r="B207" i="4"/>
  <c r="B209" i="4"/>
  <c r="B211" i="4"/>
  <c r="B218" i="4"/>
  <c r="B219" i="4"/>
  <c r="B220" i="4"/>
  <c r="B221" i="4"/>
  <c r="B222" i="4"/>
  <c r="B223" i="4"/>
  <c r="B224" i="4"/>
  <c r="B225" i="4"/>
  <c r="B226" i="4"/>
  <c r="B230" i="4"/>
  <c r="B231" i="4"/>
  <c r="A206" i="4"/>
  <c r="A208" i="4"/>
  <c r="A210" i="4"/>
  <c r="A217" i="4"/>
  <c r="A218" i="4"/>
  <c r="A219" i="4"/>
  <c r="A220" i="4"/>
  <c r="A221" i="4"/>
  <c r="A222" i="4"/>
  <c r="A223" i="4"/>
  <c r="A224" i="4"/>
  <c r="A225" i="4"/>
  <c r="A226" i="4"/>
  <c r="A229" i="4"/>
  <c r="A230" i="4"/>
  <c r="A231" i="4"/>
  <c r="F177" i="4"/>
  <c r="F178" i="4"/>
  <c r="F197" i="4"/>
  <c r="F199" i="4"/>
  <c r="F201" i="4"/>
  <c r="F203" i="4"/>
  <c r="B177" i="4"/>
  <c r="B196" i="4"/>
  <c r="B197" i="4"/>
  <c r="B199" i="4"/>
  <c r="B201" i="4"/>
  <c r="B203" i="4"/>
  <c r="A175" i="4"/>
  <c r="A177" i="4"/>
  <c r="A196" i="4"/>
  <c r="A197" i="4"/>
  <c r="A198" i="4"/>
  <c r="A199" i="4"/>
  <c r="A200" i="4"/>
  <c r="A201" i="4"/>
  <c r="A202" i="4"/>
  <c r="A203" i="4"/>
  <c r="F170" i="4"/>
  <c r="F171" i="4"/>
  <c r="B170" i="4"/>
  <c r="B171" i="4"/>
  <c r="B173" i="4"/>
  <c r="B174" i="4"/>
  <c r="A168" i="4"/>
  <c r="A169" i="4"/>
  <c r="A170" i="4"/>
  <c r="A171" i="4"/>
  <c r="A172" i="4"/>
  <c r="A173" i="4"/>
  <c r="A174" i="4"/>
  <c r="F168" i="4"/>
  <c r="D42" i="10" s="1"/>
  <c r="B168" i="4"/>
  <c r="F167" i="4"/>
  <c r="B167" i="4"/>
  <c r="A167" i="4"/>
  <c r="B156" i="4"/>
  <c r="F154" i="4"/>
  <c r="B154" i="4"/>
  <c r="A154" i="4"/>
  <c r="B150" i="4"/>
  <c r="F149" i="4"/>
  <c r="B149" i="4"/>
  <c r="A149" i="4"/>
  <c r="B147" i="4"/>
  <c r="F146" i="4"/>
  <c r="B146" i="4"/>
  <c r="A146" i="4"/>
  <c r="B138" i="4"/>
  <c r="B137" i="4"/>
  <c r="A137" i="4"/>
  <c r="F137" i="4"/>
  <c r="F129" i="4"/>
  <c r="B129" i="4"/>
  <c r="F128" i="4"/>
  <c r="B128" i="4"/>
  <c r="A128" i="4"/>
  <c r="B124" i="4"/>
  <c r="A124" i="4"/>
  <c r="B120" i="4"/>
  <c r="B119" i="4"/>
  <c r="A119" i="4"/>
  <c r="B114" i="4"/>
  <c r="A114" i="4"/>
  <c r="F112" i="4"/>
  <c r="L224" i="3"/>
  <c r="B81" i="4"/>
  <c r="B80" i="4"/>
  <c r="V50" i="3"/>
  <c r="B4" i="4"/>
  <c r="F42" i="4"/>
  <c r="F43" i="4"/>
  <c r="F44" i="4"/>
  <c r="F45" i="4"/>
  <c r="F46" i="4"/>
  <c r="F47" i="4"/>
  <c r="F48" i="4"/>
  <c r="F49" i="4"/>
  <c r="F50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81" i="4"/>
  <c r="F96" i="4"/>
  <c r="F97" i="4"/>
  <c r="F99" i="4"/>
  <c r="F100" i="4"/>
  <c r="F102" i="4"/>
  <c r="F103" i="4"/>
  <c r="F105" i="4"/>
  <c r="F106" i="4"/>
  <c r="F108" i="4"/>
  <c r="F109" i="4"/>
  <c r="F28" i="4"/>
  <c r="F29" i="4"/>
  <c r="F30" i="4"/>
  <c r="F31" i="4"/>
  <c r="F32" i="4"/>
  <c r="F33" i="4"/>
  <c r="F34" i="4"/>
  <c r="F35" i="4"/>
  <c r="F36" i="4"/>
  <c r="F37" i="4"/>
  <c r="F20" i="4"/>
  <c r="F21" i="4"/>
  <c r="F22" i="4"/>
  <c r="F23" i="4"/>
  <c r="F12" i="4"/>
  <c r="F13" i="4"/>
  <c r="F14" i="4"/>
  <c r="F15" i="4"/>
  <c r="F11" i="4"/>
  <c r="A111" i="4"/>
  <c r="B111" i="4"/>
  <c r="A112" i="4"/>
  <c r="B112" i="4"/>
  <c r="B11" i="4"/>
  <c r="B12" i="4"/>
  <c r="B13" i="4"/>
  <c r="B14" i="4"/>
  <c r="B15" i="4"/>
  <c r="B17" i="4"/>
  <c r="B19" i="4"/>
  <c r="B20" i="4"/>
  <c r="B21" i="4"/>
  <c r="B22" i="4"/>
  <c r="B23" i="4"/>
  <c r="B25" i="4"/>
  <c r="B27" i="4"/>
  <c r="B28" i="4"/>
  <c r="B29" i="4"/>
  <c r="B30" i="4"/>
  <c r="B31" i="4"/>
  <c r="B32" i="4"/>
  <c r="B33" i="4"/>
  <c r="B34" i="4"/>
  <c r="B35" i="4"/>
  <c r="B36" i="4"/>
  <c r="B37" i="4"/>
  <c r="B39" i="4"/>
  <c r="B41" i="4"/>
  <c r="B42" i="4"/>
  <c r="B43" i="4"/>
  <c r="B44" i="4"/>
  <c r="B45" i="4"/>
  <c r="B46" i="4"/>
  <c r="B47" i="4"/>
  <c r="B48" i="4"/>
  <c r="B49" i="4"/>
  <c r="B50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95" i="4"/>
  <c r="B96" i="4"/>
  <c r="B97" i="4"/>
  <c r="B99" i="4"/>
  <c r="B100" i="4"/>
  <c r="B102" i="4"/>
  <c r="B103" i="4"/>
  <c r="B105" i="4"/>
  <c r="B106" i="4"/>
  <c r="B108" i="4"/>
  <c r="B109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1" i="4"/>
  <c r="A42" i="4"/>
  <c r="A43" i="4"/>
  <c r="A44" i="4"/>
  <c r="A45" i="4"/>
  <c r="A46" i="4"/>
  <c r="A47" i="4"/>
  <c r="A48" i="4"/>
  <c r="A49" i="4"/>
  <c r="A50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80" i="4"/>
  <c r="A81" i="4"/>
  <c r="A95" i="4"/>
  <c r="A96" i="4"/>
  <c r="A97" i="4"/>
  <c r="A98" i="4"/>
  <c r="A99" i="4"/>
  <c r="A100" i="4"/>
  <c r="A101" i="4"/>
  <c r="A102" i="4"/>
  <c r="A103" i="4"/>
  <c r="A105" i="4"/>
  <c r="A106" i="4"/>
  <c r="A108" i="4"/>
  <c r="A109" i="4"/>
  <c r="B10" i="4"/>
  <c r="A10" i="4"/>
  <c r="V23" i="3"/>
  <c r="V15" i="3"/>
  <c r="V37" i="3"/>
  <c r="M48" i="3"/>
  <c r="N48" i="3" s="1"/>
  <c r="F25" i="9" l="1"/>
  <c r="B77" i="4"/>
  <c r="C48" i="10"/>
  <c r="L68" i="3"/>
  <c r="L67" i="3"/>
  <c r="L124" i="3"/>
  <c r="C25" i="10"/>
  <c r="G149" i="3"/>
  <c r="N149" i="3" s="1"/>
  <c r="L121" i="3"/>
  <c r="M121" i="3" s="1"/>
  <c r="N121" i="3" s="1"/>
  <c r="C22" i="10"/>
  <c r="C16" i="10"/>
  <c r="L137" i="3"/>
  <c r="M137" i="3" s="1"/>
  <c r="C35" i="10"/>
  <c r="C19" i="10"/>
  <c r="L127" i="3"/>
  <c r="M127" i="3" s="1"/>
  <c r="N127" i="3" s="1"/>
  <c r="C28" i="10"/>
  <c r="L64" i="3"/>
  <c r="L62" i="3"/>
  <c r="L63" i="3"/>
  <c r="C74" i="10"/>
  <c r="C41" i="10"/>
  <c r="C75" i="10"/>
  <c r="C73" i="10"/>
  <c r="F16" i="9"/>
  <c r="C21" i="10"/>
  <c r="L86" i="3"/>
  <c r="M86" i="3" s="1"/>
  <c r="N86" i="3" s="1"/>
  <c r="M62" i="3"/>
  <c r="N62" i="3" s="1"/>
  <c r="I195" i="3"/>
  <c r="J195" i="3" s="1"/>
  <c r="N195" i="3" s="1"/>
  <c r="N169" i="3"/>
  <c r="G150" i="3"/>
  <c r="N150" i="3" s="1"/>
  <c r="L180" i="3"/>
  <c r="L173" i="3"/>
  <c r="M173" i="3" s="1"/>
  <c r="L33" i="3"/>
  <c r="M33" i="3" s="1"/>
  <c r="N33" i="3" s="1"/>
  <c r="L34" i="3"/>
  <c r="M34" i="3" s="1"/>
  <c r="N34" i="3" s="1"/>
  <c r="L27" i="3"/>
  <c r="M27" i="3" s="1"/>
  <c r="N27" i="3" s="1"/>
  <c r="M70" i="3"/>
  <c r="N70" i="3" s="1"/>
  <c r="L165" i="3"/>
  <c r="M165" i="3" s="1"/>
  <c r="M169" i="3"/>
  <c r="G152" i="3"/>
  <c r="N152" i="3" s="1"/>
  <c r="M143" i="3"/>
  <c r="J192" i="3"/>
  <c r="N192" i="3" s="1"/>
  <c r="G147" i="3"/>
  <c r="N147" i="3" s="1"/>
  <c r="G134" i="3"/>
  <c r="N134" i="3" s="1"/>
  <c r="L254" i="3"/>
  <c r="L143" i="3"/>
  <c r="L183" i="3"/>
  <c r="N183" i="3" s="1"/>
  <c r="M159" i="3"/>
  <c r="M134" i="3"/>
  <c r="L89" i="3"/>
  <c r="M89" i="3" s="1"/>
  <c r="N89" i="3" s="1"/>
  <c r="M45" i="3"/>
  <c r="M46" i="3"/>
  <c r="N46" i="3" s="1"/>
  <c r="L75" i="3"/>
  <c r="M75" i="3" s="1"/>
  <c r="N75" i="3" s="1"/>
  <c r="L95" i="3"/>
  <c r="M95" i="3" s="1"/>
  <c r="N95" i="3" s="1"/>
  <c r="I227" i="3"/>
  <c r="N227" i="3" s="1"/>
  <c r="I225" i="3"/>
  <c r="L35" i="3"/>
  <c r="M35" i="3" s="1"/>
  <c r="N35" i="3" s="1"/>
  <c r="L28" i="3"/>
  <c r="M28" i="3" s="1"/>
  <c r="N28" i="3" s="1"/>
  <c r="M162" i="3"/>
  <c r="I228" i="3"/>
  <c r="N228" i="3" s="1"/>
  <c r="C65" i="10" s="1"/>
  <c r="I226" i="3"/>
  <c r="N226" i="3" s="1"/>
  <c r="J177" i="3"/>
  <c r="N177" i="3" s="1"/>
  <c r="F20" i="9"/>
  <c r="H22" i="4"/>
  <c r="H14" i="4"/>
  <c r="H12" i="4"/>
  <c r="H11" i="4"/>
  <c r="H23" i="4"/>
  <c r="L140" i="3"/>
  <c r="M140" i="3" s="1"/>
  <c r="L131" i="3"/>
  <c r="M131" i="3" s="1"/>
  <c r="L130" i="3"/>
  <c r="M130" i="3" s="1"/>
  <c r="N130" i="3" s="1"/>
  <c r="H20" i="4"/>
  <c r="H15" i="4"/>
  <c r="F23" i="9"/>
  <c r="H21" i="4"/>
  <c r="H13" i="4"/>
  <c r="L242" i="3"/>
  <c r="M242" i="3" s="1"/>
  <c r="L245" i="3"/>
  <c r="L239" i="3"/>
  <c r="M239" i="3" s="1"/>
  <c r="L177" i="3"/>
  <c r="L162" i="3"/>
  <c r="L146" i="3"/>
  <c r="F24" i="9"/>
  <c r="L251" i="3"/>
  <c r="L134" i="3"/>
  <c r="M226" i="3"/>
  <c r="L74" i="3"/>
  <c r="N137" i="3"/>
  <c r="N158" i="3"/>
  <c r="N140" i="3"/>
  <c r="M124" i="3"/>
  <c r="N124" i="3" s="1"/>
  <c r="M98" i="3"/>
  <c r="N98" i="3" s="1"/>
  <c r="M92" i="3"/>
  <c r="N92" i="3" s="1"/>
  <c r="L66" i="3"/>
  <c r="M43" i="3"/>
  <c r="N43" i="3" s="1"/>
  <c r="M41" i="3"/>
  <c r="N41" i="3" s="1"/>
  <c r="L30" i="3"/>
  <c r="L55" i="3"/>
  <c r="L54" i="3"/>
  <c r="L56" i="3"/>
  <c r="L58" i="3"/>
  <c r="N107" i="3"/>
  <c r="L72" i="3"/>
  <c r="L71" i="3"/>
  <c r="M79" i="3"/>
  <c r="N79" i="3" s="1"/>
  <c r="F22" i="9" l="1"/>
  <c r="C29" i="10"/>
  <c r="C23" i="10"/>
  <c r="C50" i="10"/>
  <c r="C26" i="10"/>
  <c r="C36" i="10"/>
  <c r="C64" i="10"/>
  <c r="C39" i="10"/>
  <c r="C63" i="10"/>
  <c r="C49" i="10"/>
  <c r="C20" i="10"/>
  <c r="C43" i="10"/>
  <c r="C17" i="10"/>
  <c r="C18" i="10"/>
  <c r="C42" i="10"/>
  <c r="C11" i="10"/>
  <c r="C10" i="10"/>
  <c r="M227" i="3"/>
  <c r="M228" i="3"/>
  <c r="N225" i="3"/>
  <c r="M225" i="3" s="1"/>
  <c r="N45" i="3"/>
  <c r="M177" i="3"/>
  <c r="F10" i="9"/>
  <c r="F11" i="9"/>
  <c r="L82" i="3"/>
  <c r="L81" i="3"/>
  <c r="L80" i="3"/>
  <c r="M72" i="3"/>
  <c r="N72" i="3" s="1"/>
  <c r="M63" i="3"/>
  <c r="N63" i="3" s="1"/>
  <c r="M54" i="3"/>
  <c r="N54" i="3" s="1"/>
  <c r="M66" i="3"/>
  <c r="N66" i="3" s="1"/>
  <c r="M74" i="3"/>
  <c r="N74" i="3" s="1"/>
  <c r="M71" i="3"/>
  <c r="N71" i="3" s="1"/>
  <c r="M58" i="3"/>
  <c r="N58" i="3" s="1"/>
  <c r="M56" i="3"/>
  <c r="N56" i="3" s="1"/>
  <c r="M55" i="3"/>
  <c r="N55" i="3" s="1"/>
  <c r="M30" i="3"/>
  <c r="N30" i="3" s="1"/>
  <c r="M158" i="3"/>
  <c r="C34" i="10" l="1"/>
  <c r="F15" i="9"/>
  <c r="F17" i="9"/>
  <c r="F19" i="9"/>
  <c r="C44" i="10"/>
  <c r="F21" i="9"/>
  <c r="F18" i="9"/>
  <c r="F12" i="9"/>
  <c r="L59" i="3"/>
  <c r="M80" i="3"/>
  <c r="N80" i="3" s="1"/>
  <c r="M82" i="3"/>
  <c r="N82" i="3" s="1"/>
  <c r="M81" i="3"/>
  <c r="N81" i="3" s="1"/>
  <c r="F13" i="9" l="1"/>
  <c r="C9" i="10"/>
  <c r="C12" i="10"/>
  <c r="M67" i="3"/>
  <c r="N67" i="3" s="1"/>
  <c r="M59" i="3"/>
  <c r="N59" i="3" s="1"/>
  <c r="M64" i="3"/>
  <c r="N64" i="3" s="1"/>
  <c r="L60" i="3" l="1"/>
  <c r="C13" i="10" l="1"/>
  <c r="M60" i="3"/>
  <c r="N60" i="3" s="1"/>
  <c r="M68" i="3"/>
  <c r="N68" i="3" s="1"/>
  <c r="F14" i="9" l="1"/>
  <c r="F28" i="9" s="1"/>
  <c r="F30" i="9" s="1"/>
  <c r="F32" i="9" s="1"/>
  <c r="F34" i="9" s="1"/>
  <c r="C14" i="10"/>
  <c r="F36" i="9" l="1"/>
  <c r="F38" i="9" s="1"/>
  <c r="F40" i="9" l="1"/>
  <c r="F42" i="9" s="1"/>
</calcChain>
</file>

<file path=xl/sharedStrings.xml><?xml version="1.0" encoding="utf-8"?>
<sst xmlns="http://schemas.openxmlformats.org/spreadsheetml/2006/main" count="816" uniqueCount="343">
  <si>
    <t>REF</t>
  </si>
  <si>
    <t>TOTAL</t>
  </si>
  <si>
    <t>m</t>
  </si>
  <si>
    <t>QTY</t>
  </si>
  <si>
    <t>Nos</t>
  </si>
  <si>
    <t>Bags</t>
  </si>
  <si>
    <t>U/PRICE</t>
  </si>
  <si>
    <r>
      <t>m</t>
    </r>
    <r>
      <rPr>
        <sz val="11"/>
        <color theme="1"/>
        <rFont val="Calibri"/>
        <family val="2"/>
      </rPr>
      <t>³</t>
    </r>
  </si>
  <si>
    <t>Rolls</t>
  </si>
  <si>
    <t>Concreting</t>
  </si>
  <si>
    <t>Net Water Content per Cu. Metres of Concrete</t>
  </si>
  <si>
    <t>kg/cu.m</t>
  </si>
  <si>
    <t>Net Sand Percentage</t>
  </si>
  <si>
    <t>Net Aggregate (Gravel) Content</t>
  </si>
  <si>
    <t>Net Portland Cement Content</t>
  </si>
  <si>
    <t>QUANTITY TAKEOFF</t>
  </si>
  <si>
    <t>EXTENSION</t>
  </si>
  <si>
    <t>m³</t>
  </si>
  <si>
    <r>
      <t>m</t>
    </r>
    <r>
      <rPr>
        <sz val="11"/>
        <color theme="1"/>
        <rFont val="Calibri"/>
        <family val="2"/>
      </rPr>
      <t>²</t>
    </r>
  </si>
  <si>
    <t>GENERAL REQUIREMENTS</t>
  </si>
  <si>
    <t>PRELIMINARIES</t>
  </si>
  <si>
    <t>COST ITEM</t>
  </si>
  <si>
    <t>UOMs</t>
  </si>
  <si>
    <t>Length(s)</t>
  </si>
  <si>
    <t>Set</t>
  </si>
  <si>
    <t>Unit</t>
  </si>
  <si>
    <t>Resources</t>
  </si>
  <si>
    <t>M/hours</t>
  </si>
  <si>
    <t>H/Rate</t>
  </si>
  <si>
    <t>KPF 7.5%</t>
  </si>
  <si>
    <t>Ext.</t>
  </si>
  <si>
    <t>LABOUR COST</t>
  </si>
  <si>
    <t>LABOUR TOTAL</t>
  </si>
  <si>
    <t>40kg Cement</t>
  </si>
  <si>
    <t>Aggregate</t>
  </si>
  <si>
    <t>Sand</t>
  </si>
  <si>
    <t>TOTAL TO SUMMARY</t>
  </si>
  <si>
    <t>50x50 Non-structural pine</t>
  </si>
  <si>
    <t>100x25 Non-structural pine</t>
  </si>
  <si>
    <t>Profiling and general support</t>
  </si>
  <si>
    <t>Strutting in excavation wall supports</t>
  </si>
  <si>
    <t>m²</t>
  </si>
  <si>
    <t>Value 1</t>
  </si>
  <si>
    <t>Value 2</t>
  </si>
  <si>
    <t>Backfill to excavations</t>
  </si>
  <si>
    <t>Siding in excavation wall supports</t>
  </si>
  <si>
    <t>UNIT COST</t>
  </si>
  <si>
    <t>UOM</t>
  </si>
  <si>
    <t>FACTOR</t>
  </si>
  <si>
    <t>TOTAL AREA (m²)</t>
  </si>
  <si>
    <t>TOTAL VOL. (m³)</t>
  </si>
  <si>
    <t>Sheet</t>
  </si>
  <si>
    <t>50mm Galv. pipes in posts</t>
  </si>
  <si>
    <t>50mm Galv. pipes in bracings</t>
  </si>
  <si>
    <t>3' Chainlink fencing</t>
  </si>
  <si>
    <t>3mm Galv. Straining wire</t>
  </si>
  <si>
    <t>Fence siding and straining</t>
  </si>
  <si>
    <t>Fencing post at least every 3 metres</t>
  </si>
  <si>
    <t>Allow for site hoarding and access</t>
  </si>
  <si>
    <t>Allow for temporary services</t>
  </si>
  <si>
    <t>Allow for site clearance</t>
  </si>
  <si>
    <t>Allow for heavy plants and equipments</t>
  </si>
  <si>
    <t>Allow for basic tools</t>
  </si>
  <si>
    <t>Allow for OHS requirements</t>
  </si>
  <si>
    <t>Allow for permits</t>
  </si>
  <si>
    <t>Allow for site security services</t>
  </si>
  <si>
    <t>Allow for LMD surveys</t>
  </si>
  <si>
    <t>Damp-proofing membrane</t>
  </si>
  <si>
    <t>TOTAL LENGTH (m)</t>
  </si>
  <si>
    <t>10% WASTAGE ALLOWANCE</t>
  </si>
  <si>
    <t>Coils</t>
  </si>
  <si>
    <t>PC</t>
  </si>
  <si>
    <t>PS</t>
  </si>
  <si>
    <t>Ø12mm Deformed rebars</t>
  </si>
  <si>
    <t>DATA LINKED TO OTHER WORKSHEETS. DO  NOT MODIFY OR DELETE ANY OF THE CONTENTS. CONSULT DM FOR FURTHER INFORMATION</t>
  </si>
  <si>
    <t>Ø6mm Round stirrup rebars</t>
  </si>
  <si>
    <t>KIRIBATI HOUSING CORPORATION</t>
  </si>
  <si>
    <t>Prepared:</t>
  </si>
  <si>
    <t>Checked:</t>
  </si>
  <si>
    <t>Issue Date:</t>
  </si>
  <si>
    <t>Issue Status:</t>
  </si>
  <si>
    <t>Project No:</t>
  </si>
  <si>
    <t>Project No.</t>
  </si>
  <si>
    <t>YY/MM/DD</t>
  </si>
  <si>
    <t>R.Arobati</t>
  </si>
  <si>
    <t>B.Otiuea</t>
  </si>
  <si>
    <t>K.Tokaia</t>
  </si>
  <si>
    <t>Preliminary</t>
  </si>
  <si>
    <t>Final</t>
  </si>
  <si>
    <t>Select appropriate initial</t>
  </si>
  <si>
    <t>25MPa Conc. in columns</t>
  </si>
  <si>
    <t>25MPa Conc. in raft edgebeam footings</t>
  </si>
  <si>
    <t>25MPa Conc. in raft thickening footings</t>
  </si>
  <si>
    <t>ØD12mm reinforcing in 25MPa conc. raft edgebeam footings</t>
  </si>
  <si>
    <t>ØD12mm reinforcing in 25MPa conc. raft thickening footings</t>
  </si>
  <si>
    <t>ØR6mm reinforcing in 25MPa conc. raft edgebeam footings</t>
  </si>
  <si>
    <t>ØR6mm reinforcing in 25MPa conc. raft thickening footings</t>
  </si>
  <si>
    <t>Ref:</t>
  </si>
  <si>
    <t>DEVELOPMENT DEPARTMENT</t>
  </si>
  <si>
    <t>BILL OF QUANTITY</t>
  </si>
  <si>
    <t>"Where quality and standard merge"</t>
  </si>
  <si>
    <t>Select appropriate remark</t>
  </si>
  <si>
    <t>GROUNDWORKS</t>
  </si>
  <si>
    <t>STEELWORKS</t>
  </si>
  <si>
    <t>BOUNDARY WORKS</t>
  </si>
  <si>
    <t>25MPa Conc. in floor slabs</t>
  </si>
  <si>
    <t>Cement-sand plaster in rendered brickwalls</t>
  </si>
  <si>
    <t>Cummulative Length</t>
  </si>
  <si>
    <t>Cummulative Width</t>
  </si>
  <si>
    <t>Cummulative Height</t>
  </si>
  <si>
    <t>Tie wire</t>
  </si>
  <si>
    <t>Galv. Tie wire</t>
  </si>
  <si>
    <t>BRICKWORK</t>
  </si>
  <si>
    <t>8' Concrete blocks</t>
  </si>
  <si>
    <t>6' Concrete blocks</t>
  </si>
  <si>
    <t>4' Concrete blocks</t>
  </si>
  <si>
    <t>TIMBERWORKS</t>
  </si>
  <si>
    <t>RS 200x25 H3 Treated Pine timber</t>
  </si>
  <si>
    <t>DAS 100x100 H3 Treated Pine timber</t>
  </si>
  <si>
    <t>RS 100x50 H3 Treated Pine timber</t>
  </si>
  <si>
    <t>CONCRETE WORKS</t>
  </si>
  <si>
    <t>Gauge 75 Fortecon Sheet or equivalent 20m/ROLL</t>
  </si>
  <si>
    <t>Kg</t>
  </si>
  <si>
    <t xml:space="preserve">Prepared: </t>
  </si>
  <si>
    <t xml:space="preserve">Checked: </t>
  </si>
  <si>
    <t>Project ID:</t>
  </si>
  <si>
    <t>All door and window frames</t>
  </si>
  <si>
    <t>Top plates</t>
  </si>
  <si>
    <t>Purlin</t>
  </si>
  <si>
    <t>BOARDS</t>
  </si>
  <si>
    <t>Hardboard/Masonite</t>
  </si>
  <si>
    <t>Ceiling</t>
  </si>
  <si>
    <t>FLOOR WORKS</t>
  </si>
  <si>
    <t>300x300 Vinyl tile</t>
  </si>
  <si>
    <t>Tile O Fix</t>
  </si>
  <si>
    <t>HARDWARE</t>
  </si>
  <si>
    <t>100mm Stainless steel Hinges</t>
  </si>
  <si>
    <t>100mm Barrel bolt</t>
  </si>
  <si>
    <t>8 blades louvre frame</t>
  </si>
  <si>
    <t>6 blades louvre frame</t>
  </si>
  <si>
    <t>PAINT WORKS</t>
  </si>
  <si>
    <t>Primer</t>
  </si>
  <si>
    <t>Undercoat</t>
  </si>
  <si>
    <t>Semi-gloss</t>
  </si>
  <si>
    <t>High-gloss</t>
  </si>
  <si>
    <t>100mm Hand brush</t>
  </si>
  <si>
    <t>Corner brush</t>
  </si>
  <si>
    <t>ROLLER SLEEVE ‐ NOOK &amp; FABRIC 100mm [4"] CHINA mouse</t>
  </si>
  <si>
    <t>PLUMBING WORKS</t>
  </si>
  <si>
    <t>SISAL F‐STOP 1250mm x 40M (50m²) DOUBLE SIDE  ROLL</t>
  </si>
  <si>
    <t>Colourbond Ridge cap 2.4mtr</t>
  </si>
  <si>
    <t>Colourbond Flashing 2.4mtr</t>
  </si>
  <si>
    <t>2.4m Colourbond gutter</t>
  </si>
  <si>
    <t xml:space="preserve">2.4m Colourbond strapping </t>
  </si>
  <si>
    <t>100mm PVC pipe</t>
  </si>
  <si>
    <t>100mm PVC Inspection opening</t>
  </si>
  <si>
    <t>ELECTRICAL COMPONENTS</t>
  </si>
  <si>
    <t>SUB BOARD 8WAY TSM8</t>
  </si>
  <si>
    <t>HEM CIRCUIT BREAKER 20A 1POLE 4.5KA (GBL IMEX)</t>
  </si>
  <si>
    <t>HEM CIRCUIT BREAKER 16A 1POLE 4.5KA (GBL IMEX)</t>
  </si>
  <si>
    <t>PVCF DWV CLIP STANDARD PIPE 100mm [141.100] WASTE FITTING</t>
  </si>
  <si>
    <t>HEM CIRCUIT BREAKER 10A 1POLE 4.5KA (GBL IMEX)</t>
  </si>
  <si>
    <t>WIRE 6mm 2 CORE + EARTH ORANGE PVC CIRCULAR ELECTRICAL DC</t>
  </si>
  <si>
    <t>WIRE 1.5mm Flat cable 100m/roll</t>
  </si>
  <si>
    <t>WIRE 2.5mm Flat cable 100m/roll</t>
  </si>
  <si>
    <t>Double switch + Mounting</t>
  </si>
  <si>
    <t>Single switch +Mounting</t>
  </si>
  <si>
    <t xml:space="preserve">TAPE ‐ PVC INSULATING BLACK 18mm x 15yd EACH </t>
  </si>
  <si>
    <t>TAPE ‐ PVC INSULATING GREEN 18mm x 10yrd EACH</t>
  </si>
  <si>
    <t xml:space="preserve">TAPE ‐ PVC INSULATING RED 18mm x 10yd               </t>
  </si>
  <si>
    <t>HEM JUNCTION BOX BIG JB1 &amp; JB2</t>
  </si>
  <si>
    <t>15mm PVC Conduit pipe</t>
  </si>
  <si>
    <t>20mm PVC Conduit pipe</t>
  </si>
  <si>
    <t>15mm Galv. Pipe</t>
  </si>
  <si>
    <t>25mm PVC Conduit pipe</t>
  </si>
  <si>
    <t>FIXINGS AND FASTNERS</t>
  </si>
  <si>
    <t>100mm Galv. Jolthead nail</t>
  </si>
  <si>
    <t>75mm Galv. Jolthead nail</t>
  </si>
  <si>
    <t>50mm Galv. Jolthead nail</t>
  </si>
  <si>
    <t>40mm Galv. Jolthead nail</t>
  </si>
  <si>
    <t>40mm Galv. Clout jolthead nail</t>
  </si>
  <si>
    <t>NAIL JOLT HEAD GALVANIZED PANEL PIN 25mm [1"] x 1.60mm x 1.0k</t>
  </si>
  <si>
    <t xml:space="preserve">ROOFING SCREW CORRUDEK TO TIMBER CYCLONE           </t>
  </si>
  <si>
    <t>Knuckle nailplates 76mmx317mm 10m/roll</t>
  </si>
  <si>
    <t xml:space="preserve">Maxi strap </t>
  </si>
  <si>
    <t>Tim-con brackets</t>
  </si>
  <si>
    <t>Nail on joint hangers</t>
  </si>
  <si>
    <t>BOLT &amp; NUT MILD STEEL HEXAGON HEAD GALVANISED 12mm</t>
  </si>
  <si>
    <t>POP Rivet</t>
  </si>
  <si>
    <t>kg</t>
  </si>
  <si>
    <t>Silicon 750ml</t>
  </si>
  <si>
    <t>Gap filler 475ml</t>
  </si>
  <si>
    <t>Wood putty</t>
  </si>
  <si>
    <t>Sand paper P-120 50m/roll</t>
  </si>
  <si>
    <t>Sand paper P-60 50m/roll</t>
  </si>
  <si>
    <t>Total material cost</t>
  </si>
  <si>
    <t>Contigency</t>
  </si>
  <si>
    <t xml:space="preserve">Sub-Total </t>
  </si>
  <si>
    <t>Project cost</t>
  </si>
  <si>
    <t>DAS 95x45 H3 Treated Pine timber</t>
  </si>
  <si>
    <t>Contract Administration fee</t>
  </si>
  <si>
    <t>SUMMARY</t>
  </si>
  <si>
    <t>Done</t>
  </si>
  <si>
    <t>Polyethene</t>
  </si>
  <si>
    <t>DAS 295x45 H3 Treated Dakua timber</t>
  </si>
  <si>
    <t>Stringers</t>
  </si>
  <si>
    <t>Ridge beam</t>
  </si>
  <si>
    <t xml:space="preserve">                                                                           </t>
  </si>
  <si>
    <t>Fascia board</t>
  </si>
  <si>
    <t xml:space="preserve">                     </t>
  </si>
  <si>
    <t xml:space="preserve">                                       </t>
  </si>
  <si>
    <t>RS 300x50 H3 Treated Pine timber</t>
  </si>
  <si>
    <t>1st Floor Bearers</t>
  </si>
  <si>
    <t>RS 125x45 H3 Treated Pine timber</t>
  </si>
  <si>
    <t>Blocking timber</t>
  </si>
  <si>
    <t xml:space="preserve"> Post</t>
  </si>
  <si>
    <t>DAS 265x45 H3 Treated Dakua timber</t>
  </si>
  <si>
    <t>Stair</t>
  </si>
  <si>
    <t>RS 50x50 H3 Treated Pine timber</t>
  </si>
  <si>
    <t>DAS 40x20 Dakua</t>
  </si>
  <si>
    <t>Bird pattern</t>
  </si>
  <si>
    <t>DAS 40x10 Dakua</t>
  </si>
  <si>
    <t xml:space="preserve">Scotia </t>
  </si>
  <si>
    <t>1st Floor Sheet</t>
  </si>
  <si>
    <t>Ground floor</t>
  </si>
  <si>
    <t>Polyurethane Clear 4L</t>
  </si>
  <si>
    <t>1st Floor coating</t>
  </si>
  <si>
    <t>Turbinetine  20L</t>
  </si>
  <si>
    <t>Toilet floor</t>
  </si>
  <si>
    <t>150x150 Wall tile</t>
  </si>
  <si>
    <t>Wall tile</t>
  </si>
  <si>
    <t>20kg CTA</t>
  </si>
  <si>
    <t>20kg Grout (White)</t>
  </si>
  <si>
    <t>300x300 Quarry tile</t>
  </si>
  <si>
    <t>36" Clear Glass</t>
  </si>
  <si>
    <t>4 blades louvre frame</t>
  </si>
  <si>
    <t>Ground floor adhesive</t>
  </si>
  <si>
    <t>100mm PVC bend 45deg</t>
  </si>
  <si>
    <t>100mm PVC Elbow</t>
  </si>
  <si>
    <t>100mm PVC Gully trap</t>
  </si>
  <si>
    <t xml:space="preserve">100mm PVC Tee </t>
  </si>
  <si>
    <t>100mm PVC Pan collar</t>
  </si>
  <si>
    <t>50mm PVC Pipe</t>
  </si>
  <si>
    <t>50mm PVC elbow</t>
  </si>
  <si>
    <t>50mm PVCF DWV Clip standard Pipe 50mm</t>
  </si>
  <si>
    <t>50mm PVC Tee</t>
  </si>
  <si>
    <t>100mm Y-junction</t>
  </si>
  <si>
    <t xml:space="preserve">100-50mm PVC reducer </t>
  </si>
  <si>
    <t xml:space="preserve">50mm S-trap </t>
  </si>
  <si>
    <t>50mm Plug and Waste</t>
  </si>
  <si>
    <t>100mm Vent cowl</t>
  </si>
  <si>
    <t>15mm PVC Pipe</t>
  </si>
  <si>
    <t>15mm PVC elbow</t>
  </si>
  <si>
    <t>15mm PVC Male adaptor</t>
  </si>
  <si>
    <t>15mm PVC Female adaptor</t>
  </si>
  <si>
    <t>15mm PVCF DWV Clip Standard</t>
  </si>
  <si>
    <t>15mm PVC union</t>
  </si>
  <si>
    <t>15mm PVC Stop valve</t>
  </si>
  <si>
    <t>15mm Brass bib tap</t>
  </si>
  <si>
    <t>15mm PVC tee</t>
  </si>
  <si>
    <t>P-trap WC complete + Cistern</t>
  </si>
  <si>
    <t>Thread tape</t>
  </si>
  <si>
    <t>Batten holder</t>
  </si>
  <si>
    <t>ELEMENTS ENERGY SAVER BULB SPIRAL 20W DAYLIGHT ‐ 6500K BC (</t>
  </si>
  <si>
    <t>1st Floor bearers</t>
  </si>
  <si>
    <t>Length</t>
  </si>
  <si>
    <t>Cornice</t>
  </si>
  <si>
    <t>tin</t>
  </si>
  <si>
    <t>Ctn</t>
  </si>
  <si>
    <t>Earth wire - Green</t>
  </si>
  <si>
    <t>Pop rivet</t>
  </si>
  <si>
    <t>Sand paper P-60 50m/Roll</t>
  </si>
  <si>
    <t>Sand paper P-120 50m/Roll</t>
  </si>
  <si>
    <t>Roll</t>
  </si>
  <si>
    <t>1.8m Double Sink unit</t>
  </si>
  <si>
    <t>1.8m Double sink unit</t>
  </si>
  <si>
    <r>
      <rPr>
        <sz val="10"/>
        <rFont val="Calibri"/>
        <family val="2"/>
        <scheme val="minor"/>
      </rPr>
      <t>WIRE MESH GALVANISED 228 ‐ 2..4mtr x 1..2mtr/sht ‐ 4mm</t>
    </r>
  </si>
  <si>
    <t>OTHERS</t>
  </si>
  <si>
    <t>Well for fresh water</t>
  </si>
  <si>
    <t>5000L Water tank</t>
  </si>
  <si>
    <t>15' Colourbond Corrugate iron roofing sheet</t>
  </si>
  <si>
    <t>100mm Floor grate</t>
  </si>
  <si>
    <t>50-40mm Reducer</t>
  </si>
  <si>
    <t>40mm PVC pipe</t>
  </si>
  <si>
    <r>
      <rPr>
        <sz val="8"/>
        <rFont val="Calibri"/>
        <family val="2"/>
        <scheme val="minor"/>
      </rPr>
      <t>WIRE MESH GALVANISED 228 ‐ 2..4mtr x 1..2mtr/sht ‐ 4mm</t>
    </r>
  </si>
  <si>
    <r>
      <rPr>
        <sz val="8"/>
        <rFont val="Calibri"/>
        <family val="2"/>
        <scheme val="minor"/>
      </rPr>
      <t>ROLLER KIT 4 PCS SET OLDFIELD KUPU‐KUPU 230mm [9"]</t>
    </r>
  </si>
  <si>
    <r>
      <rPr>
        <sz val="8"/>
        <rFont val="Calibri"/>
        <family val="2"/>
        <scheme val="minor"/>
      </rPr>
      <t>HOSE CLAMP 16‐27mm x 12mm NORMA [100PCS/PKT]</t>
    </r>
  </si>
  <si>
    <t>Sub-total</t>
  </si>
  <si>
    <t>Contigencies</t>
  </si>
  <si>
    <t>Door</t>
  </si>
  <si>
    <t>DAS 145X45 H3 Treated Pine timber Window cill</t>
  </si>
  <si>
    <t>10 blades louver frame</t>
  </si>
  <si>
    <t>10 blade louver frame</t>
  </si>
  <si>
    <t>DAS 145X45 H3 Treated Pine Timber Cill</t>
  </si>
  <si>
    <t>DAS 95X45 H3 Treated Pine timber</t>
  </si>
  <si>
    <t>Truss</t>
  </si>
  <si>
    <t xml:space="preserve">Noggin </t>
  </si>
  <si>
    <t>L.Iuta</t>
  </si>
  <si>
    <t>Tin</t>
  </si>
  <si>
    <t>Ltr</t>
  </si>
  <si>
    <t>Noggin</t>
  </si>
  <si>
    <t>LBW</t>
  </si>
  <si>
    <t xml:space="preserve">Ceiling </t>
  </si>
  <si>
    <t>Partitions</t>
  </si>
  <si>
    <t>Wind &amp; Doors</t>
  </si>
  <si>
    <t>Tank Stand</t>
  </si>
  <si>
    <t>C-Grade MFE</t>
  </si>
  <si>
    <t>25MPa Conc. in External wall</t>
  </si>
  <si>
    <t>25MPa Conc. In Internal walls</t>
  </si>
  <si>
    <t>ØD12mm reinforcing in 25MPa conc. Starter bars</t>
  </si>
  <si>
    <t>Floor</t>
  </si>
  <si>
    <t>Wall</t>
  </si>
  <si>
    <t>Total to Summary</t>
  </si>
  <si>
    <t>Base and Floor of Tank Stand</t>
  </si>
  <si>
    <t>WIRE MESH SL102 ‐ 4.65mtr x 1.97mtr/sht</t>
  </si>
  <si>
    <t>15mm F9020101 Pillar cock pressmatic</t>
  </si>
  <si>
    <t>15mm (HK512) 304 Stainless Steel Swivel Kitchen Basin/Sink Faucet water</t>
  </si>
  <si>
    <t xml:space="preserve">Tabor 460mm Basin and Semi Pedestal </t>
  </si>
  <si>
    <t>15mm Tabor 460mm Basin and Semi Pedestal</t>
  </si>
  <si>
    <t>Caravan RV Double Pole Dual 240V Power Point with Twin USB Charging with Mounting block</t>
  </si>
  <si>
    <t>4" Batten screws</t>
  </si>
  <si>
    <t>Flush doors</t>
  </si>
  <si>
    <t>8 mm Marine  Ply</t>
  </si>
  <si>
    <t>20mm Formply</t>
  </si>
  <si>
    <t>Sheets</t>
  </si>
  <si>
    <t>Bright brass Lever lock with BiLock</t>
  </si>
  <si>
    <t>Bill of Material</t>
  </si>
  <si>
    <t>15mm OSUKI Stainless Steel Shower Set (Head w. steel flexi hose, wall mounting, cock…)</t>
  </si>
  <si>
    <t>Galv. WIRE NETTING HEX [CHICKEN] 2 x 2" x 6FT [72"] x 2 x 30</t>
  </si>
  <si>
    <t>TSO</t>
  </si>
  <si>
    <t>DM</t>
  </si>
  <si>
    <t>FINAL</t>
  </si>
  <si>
    <t>Single phase 30mA RCD</t>
  </si>
  <si>
    <t>Boxes</t>
  </si>
  <si>
    <t>Quarter-round Finish Moulding 6m</t>
  </si>
  <si>
    <t>Barge-cover Colourbond Flashing (to match roofing sheet colour)</t>
  </si>
  <si>
    <t>2.4m Guttering - Colourbond (to match roofing sheet colour)</t>
  </si>
  <si>
    <t xml:space="preserve">       </t>
  </si>
  <si>
    <t>Total Concrete Mixture</t>
  </si>
  <si>
    <t>40Kg Cement</t>
  </si>
  <si>
    <t>NO OF HSE</t>
  </si>
  <si>
    <t>NEW QTY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</si>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</sst>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"/>
    <numFmt numFmtId="165" formatCode="000"/>
  </numFmts>
  <fonts count="3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Myriad Pro"/>
      <family val="2"/>
    </font>
    <font>
      <b/>
      <sz val="11"/>
      <color theme="1"/>
      <name val="Myriad Pro"/>
      <family val="2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0"/>
      <color theme="0"/>
      <name val="Myriad Pro"/>
      <family val="2"/>
    </font>
    <font>
      <b/>
      <sz val="12"/>
      <color theme="1"/>
      <name val="Myriad Pro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rgb="FFFF0000"/>
      <name val="Myriad Pro"/>
    </font>
    <font>
      <sz val="10"/>
      <color theme="1"/>
      <name val="Myriad Pro"/>
    </font>
    <font>
      <b/>
      <sz val="10"/>
      <color theme="1"/>
      <name val="Myriad Pro"/>
    </font>
    <font>
      <sz val="10"/>
      <name val="Calibri"/>
      <family val="2"/>
      <scheme val="minor"/>
    </font>
    <font>
      <b/>
      <sz val="10"/>
      <color rgb="FF3366FF"/>
      <name val="Myriad Pro"/>
    </font>
    <font>
      <sz val="10"/>
      <color rgb="FF3366FF"/>
      <name val="Myriad Pro"/>
    </font>
    <font>
      <sz val="14"/>
      <color theme="1"/>
      <name val="Apple Chancery"/>
    </font>
    <font>
      <sz val="8"/>
      <name val="Calibri"/>
      <family val="2"/>
      <scheme val="minor"/>
    </font>
    <font>
      <sz val="8"/>
      <color theme="0"/>
      <name val="Myriad Pro"/>
      <family val="2"/>
    </font>
    <font>
      <sz val="8"/>
      <name val="Myriad Pro"/>
      <family val="2"/>
    </font>
    <font>
      <b/>
      <sz val="8"/>
      <name val="Myriad Pro"/>
      <family val="2"/>
    </font>
    <font>
      <b/>
      <sz val="8"/>
      <color theme="0"/>
      <name val="Myriad Pro"/>
      <family val="2"/>
    </font>
    <font>
      <b/>
      <sz val="8"/>
      <color rgb="FF3366FF"/>
      <name val="Myriad Pro"/>
    </font>
    <font>
      <b/>
      <i/>
      <sz val="8"/>
      <name val="Myriad Pro"/>
      <family val="2"/>
    </font>
    <font>
      <i/>
      <sz val="8"/>
      <name val="Myriad Pro"/>
      <family val="2"/>
    </font>
    <font>
      <b/>
      <sz val="8"/>
      <color rgb="FFFF0000"/>
      <name val="Myriad Pro"/>
      <family val="2"/>
    </font>
    <font>
      <b/>
      <sz val="8"/>
      <name val="Myriad Pro"/>
    </font>
    <font>
      <sz val="8"/>
      <name val="Calibri"/>
      <family val="2"/>
    </font>
    <font>
      <sz val="8"/>
      <name val="Myriad Pro"/>
    </font>
    <font>
      <b/>
      <sz val="8"/>
      <name val="Calibri"/>
      <family val="2"/>
      <scheme val="minor"/>
    </font>
    <font>
      <b/>
      <sz val="8"/>
      <color rgb="FFFF0000"/>
      <name val="Myriad Pro"/>
    </font>
    <font>
      <sz val="8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9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08">
    <xf numFmtId="0" fontId="0" fillId="0" borderId="0" xfId="0"/>
    <xf numFmtId="9" fontId="0" fillId="0" borderId="0" xfId="0" applyNumberFormat="1"/>
    <xf numFmtId="44" fontId="5" fillId="0" borderId="0" xfId="2" applyFont="1"/>
    <xf numFmtId="2" fontId="5" fillId="0" borderId="0" xfId="0" applyNumberFormat="1" applyFont="1"/>
    <xf numFmtId="0" fontId="5" fillId="0" borderId="0" xfId="0" applyFont="1"/>
    <xf numFmtId="2" fontId="7" fillId="0" borderId="0" xfId="2" applyNumberFormat="1" applyFont="1" applyAlignment="1">
      <alignment horizontal="left"/>
    </xf>
    <xf numFmtId="44" fontId="8" fillId="0" borderId="0" xfId="2" applyFont="1"/>
    <xf numFmtId="2" fontId="8" fillId="0" borderId="0" xfId="0" applyNumberFormat="1" applyFont="1"/>
    <xf numFmtId="0" fontId="8" fillId="0" borderId="0" xfId="0" applyFont="1"/>
    <xf numFmtId="2" fontId="8" fillId="0" borderId="0" xfId="2" applyNumberFormat="1" applyFont="1" applyAlignment="1">
      <alignment horizontal="left"/>
    </xf>
    <xf numFmtId="2" fontId="8" fillId="0" borderId="0" xfId="2" applyNumberFormat="1" applyFont="1"/>
    <xf numFmtId="2" fontId="8" fillId="0" borderId="0" xfId="2" applyNumberFormat="1" applyFont="1" applyAlignment="1">
      <alignment horizontal="left" indent="1"/>
    </xf>
    <xf numFmtId="0" fontId="7" fillId="0" borderId="0" xfId="0" applyFont="1"/>
    <xf numFmtId="2" fontId="7" fillId="0" borderId="0" xfId="2" applyNumberFormat="1" applyFont="1"/>
    <xf numFmtId="2" fontId="7" fillId="0" borderId="0" xfId="2" applyNumberFormat="1" applyFont="1" applyAlignment="1">
      <alignment horizontal="left" indent="1"/>
    </xf>
    <xf numFmtId="2" fontId="9" fillId="2" borderId="12" xfId="2" applyNumberFormat="1" applyFont="1" applyFill="1" applyBorder="1" applyAlignment="1">
      <alignment horizontal="left"/>
    </xf>
    <xf numFmtId="44" fontId="9" fillId="2" borderId="13" xfId="2" applyFont="1" applyFill="1" applyBorder="1"/>
    <xf numFmtId="2" fontId="9" fillId="2" borderId="13" xfId="0" applyNumberFormat="1" applyFont="1" applyFill="1" applyBorder="1"/>
    <xf numFmtId="44" fontId="9" fillId="2" borderId="11" xfId="2" applyFont="1" applyFill="1" applyBorder="1"/>
    <xf numFmtId="2" fontId="9" fillId="0" borderId="0" xfId="2" applyNumberFormat="1" applyFont="1" applyAlignment="1">
      <alignment horizontal="left"/>
    </xf>
    <xf numFmtId="44" fontId="9" fillId="0" borderId="0" xfId="2" applyFont="1"/>
    <xf numFmtId="2" fontId="9" fillId="0" borderId="0" xfId="0" applyNumberFormat="1" applyFont="1"/>
    <xf numFmtId="49" fontId="8" fillId="0" borderId="0" xfId="2" applyNumberFormat="1" applyFont="1"/>
    <xf numFmtId="44" fontId="9" fillId="2" borderId="12" xfId="2" applyFont="1" applyFill="1" applyBorder="1" applyAlignment="1">
      <alignment horizontal="left"/>
    </xf>
    <xf numFmtId="2" fontId="8" fillId="0" borderId="2" xfId="2" applyNumberFormat="1" applyFont="1" applyBorder="1" applyAlignment="1">
      <alignment horizontal="left"/>
    </xf>
    <xf numFmtId="2" fontId="8" fillId="0" borderId="2" xfId="0" applyNumberFormat="1" applyFont="1" applyBorder="1"/>
    <xf numFmtId="44" fontId="8" fillId="0" borderId="2" xfId="2" applyFont="1" applyBorder="1"/>
    <xf numFmtId="165" fontId="8" fillId="0" borderId="3" xfId="2" applyNumberFormat="1" applyFont="1" applyBorder="1"/>
    <xf numFmtId="14" fontId="8" fillId="0" borderId="8" xfId="2" applyNumberFormat="1" applyFont="1" applyBorder="1"/>
    <xf numFmtId="49" fontId="8" fillId="0" borderId="5" xfId="2" applyNumberFormat="1" applyFont="1" applyBorder="1" applyAlignment="1">
      <alignment horizontal="left"/>
    </xf>
    <xf numFmtId="2" fontId="8" fillId="0" borderId="5" xfId="0" applyNumberFormat="1" applyFont="1" applyBorder="1"/>
    <xf numFmtId="44" fontId="8" fillId="0" borderId="5" xfId="2" applyFont="1" applyBorder="1"/>
    <xf numFmtId="44" fontId="5" fillId="0" borderId="16" xfId="2" applyFont="1" applyBorder="1"/>
    <xf numFmtId="2" fontId="5" fillId="0" borderId="16" xfId="0" applyNumberFormat="1" applyFont="1" applyBorder="1"/>
    <xf numFmtId="44" fontId="5" fillId="0" borderId="19" xfId="2" applyFont="1" applyBorder="1"/>
    <xf numFmtId="2" fontId="5" fillId="0" borderId="19" xfId="0" applyNumberFormat="1" applyFont="1" applyBorder="1"/>
    <xf numFmtId="1" fontId="5" fillId="0" borderId="16" xfId="0" applyNumberFormat="1" applyFont="1" applyBorder="1" applyAlignment="1">
      <alignment horizontal="right"/>
    </xf>
    <xf numFmtId="1" fontId="5" fillId="0" borderId="19" xfId="0" applyNumberFormat="1" applyFont="1" applyBorder="1" applyAlignment="1">
      <alignment horizontal="right"/>
    </xf>
    <xf numFmtId="1" fontId="5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/>
    </xf>
    <xf numFmtId="1" fontId="9" fillId="2" borderId="13" xfId="0" applyNumberFormat="1" applyFont="1" applyFill="1" applyBorder="1" applyAlignment="1">
      <alignment horizontal="center"/>
    </xf>
    <xf numFmtId="2" fontId="7" fillId="0" borderId="1" xfId="2" applyNumberFormat="1" applyFont="1" applyBorder="1" applyAlignment="1">
      <alignment horizontal="left"/>
    </xf>
    <xf numFmtId="2" fontId="7" fillId="0" borderId="7" xfId="2" applyNumberFormat="1" applyFont="1" applyBorder="1" applyAlignment="1">
      <alignment horizontal="left"/>
    </xf>
    <xf numFmtId="2" fontId="7" fillId="0" borderId="4" xfId="2" applyNumberFormat="1" applyFont="1" applyBorder="1" applyAlignment="1">
      <alignment horizontal="left"/>
    </xf>
    <xf numFmtId="0" fontId="7" fillId="0" borderId="2" xfId="0" applyFont="1" applyBorder="1" applyAlignment="1">
      <alignment horizontal="left"/>
    </xf>
    <xf numFmtId="1" fontId="7" fillId="0" borderId="0" xfId="0" applyNumberFormat="1" applyFont="1" applyAlignment="1">
      <alignment horizontal="left"/>
    </xf>
    <xf numFmtId="1" fontId="7" fillId="0" borderId="5" xfId="0" applyNumberFormat="1" applyFont="1" applyBorder="1" applyAlignment="1">
      <alignment horizontal="left"/>
    </xf>
    <xf numFmtId="2" fontId="10" fillId="0" borderId="15" xfId="2" applyNumberFormat="1" applyFont="1" applyBorder="1" applyAlignment="1">
      <alignment horizontal="left"/>
    </xf>
    <xf numFmtId="44" fontId="6" fillId="0" borderId="17" xfId="2" applyFont="1" applyBorder="1" applyAlignment="1">
      <alignment horizontal="right"/>
    </xf>
    <xf numFmtId="2" fontId="10" fillId="0" borderId="18" xfId="2" applyNumberFormat="1" applyFont="1" applyBorder="1" applyAlignment="1">
      <alignment horizontal="left"/>
    </xf>
    <xf numFmtId="44" fontId="5" fillId="0" borderId="20" xfId="2" applyFont="1" applyBorder="1" applyAlignment="1">
      <alignment horizontal="right"/>
    </xf>
    <xf numFmtId="14" fontId="8" fillId="0" borderId="6" xfId="2" applyNumberFormat="1" applyFont="1" applyBorder="1" applyAlignment="1">
      <alignment horizontal="right"/>
    </xf>
    <xf numFmtId="2" fontId="18" fillId="0" borderId="0" xfId="2" applyNumberFormat="1" applyFont="1" applyAlignment="1">
      <alignment horizontal="left"/>
    </xf>
    <xf numFmtId="44" fontId="18" fillId="0" borderId="0" xfId="2" applyFont="1"/>
    <xf numFmtId="44" fontId="7" fillId="0" borderId="0" xfId="2" applyFont="1"/>
    <xf numFmtId="0" fontId="19" fillId="0" borderId="0" xfId="0" applyFont="1" applyAlignment="1">
      <alignment horizontal="right" vertical="top"/>
    </xf>
    <xf numFmtId="1" fontId="8" fillId="0" borderId="21" xfId="0" applyNumberFormat="1" applyFont="1" applyBorder="1" applyAlignment="1">
      <alignment horizontal="right"/>
    </xf>
    <xf numFmtId="0" fontId="8" fillId="0" borderId="21" xfId="0" applyFont="1" applyBorder="1"/>
    <xf numFmtId="44" fontId="8" fillId="0" borderId="21" xfId="2" applyFont="1" applyBorder="1"/>
    <xf numFmtId="44" fontId="13" fillId="0" borderId="21" xfId="2" applyFont="1" applyBorder="1"/>
    <xf numFmtId="44" fontId="15" fillId="0" borderId="0" xfId="2" applyFont="1"/>
    <xf numFmtId="2" fontId="14" fillId="0" borderId="0" xfId="2" applyNumberFormat="1" applyFont="1" applyAlignment="1">
      <alignment horizontal="left"/>
    </xf>
    <xf numFmtId="2" fontId="14" fillId="0" borderId="0" xfId="2" applyNumberFormat="1" applyFont="1" applyAlignment="1">
      <alignment horizontal="left" indent="1"/>
    </xf>
    <xf numFmtId="2" fontId="17" fillId="0" borderId="0" xfId="2" applyNumberFormat="1" applyFont="1" applyAlignment="1">
      <alignment horizontal="left"/>
    </xf>
    <xf numFmtId="44" fontId="17" fillId="0" borderId="0" xfId="2" applyFont="1"/>
    <xf numFmtId="44" fontId="15" fillId="0" borderId="0" xfId="0" applyNumberFormat="1" applyFont="1"/>
    <xf numFmtId="2" fontId="14" fillId="0" borderId="0" xfId="2" applyNumberFormat="1" applyFont="1"/>
    <xf numFmtId="0" fontId="22" fillId="0" borderId="0" xfId="0" applyFont="1"/>
    <xf numFmtId="0" fontId="23" fillId="0" borderId="0" xfId="0" applyFont="1"/>
    <xf numFmtId="0" fontId="24" fillId="2" borderId="10" xfId="0" applyFont="1" applyFill="1" applyBorder="1" applyAlignment="1">
      <alignment horizontal="center" vertical="center"/>
    </xf>
    <xf numFmtId="164" fontId="21" fillId="2" borderId="10" xfId="0" applyNumberFormat="1" applyFont="1" applyFill="1" applyBorder="1" applyAlignment="1">
      <alignment horizontal="center" vertical="center"/>
    </xf>
    <xf numFmtId="2" fontId="21" fillId="2" borderId="10" xfId="0" applyNumberFormat="1" applyFont="1" applyFill="1" applyBorder="1" applyAlignment="1">
      <alignment horizontal="center" vertical="center"/>
    </xf>
    <xf numFmtId="164" fontId="21" fillId="2" borderId="10" xfId="0" applyNumberFormat="1" applyFont="1" applyFill="1" applyBorder="1" applyAlignment="1">
      <alignment horizontal="center" vertical="center" wrapText="1"/>
    </xf>
    <xf numFmtId="164" fontId="24" fillId="2" borderId="10" xfId="0" applyNumberFormat="1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2" fillId="0" borderId="11" xfId="0" applyFont="1" applyBorder="1"/>
    <xf numFmtId="0" fontId="22" fillId="0" borderId="0" xfId="0" applyFont="1" applyAlignment="1">
      <alignment horizontal="center"/>
    </xf>
    <xf numFmtId="10" fontId="22" fillId="0" borderId="0" xfId="0" applyNumberFormat="1" applyFont="1" applyAlignment="1">
      <alignment vertical="center"/>
    </xf>
    <xf numFmtId="9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2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49" fontId="22" fillId="0" borderId="14" xfId="0" applyNumberFormat="1" applyFont="1" applyBorder="1" applyAlignment="1">
      <alignment vertical="center"/>
    </xf>
    <xf numFmtId="164" fontId="23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 wrapText="1"/>
    </xf>
    <xf numFmtId="164" fontId="22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4" fontId="22" fillId="0" borderId="0" xfId="2" applyFont="1" applyAlignment="1">
      <alignment horizontal="center" vertical="center"/>
    </xf>
    <xf numFmtId="49" fontId="22" fillId="0" borderId="0" xfId="0" applyNumberFormat="1" applyFont="1" applyAlignment="1">
      <alignment vertical="center"/>
    </xf>
    <xf numFmtId="14" fontId="22" fillId="0" borderId="0" xfId="0" applyNumberFormat="1" applyFont="1" applyAlignment="1">
      <alignment horizontal="center" vertical="center" wrapText="1"/>
    </xf>
    <xf numFmtId="14" fontId="22" fillId="0" borderId="0" xfId="0" applyNumberFormat="1" applyFont="1" applyAlignment="1">
      <alignment horizontal="left" vertical="center"/>
    </xf>
    <xf numFmtId="164" fontId="22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2" fontId="25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44" fontId="22" fillId="0" borderId="0" xfId="2" applyFont="1" applyAlignment="1">
      <alignment horizontal="center"/>
    </xf>
    <xf numFmtId="2" fontId="23" fillId="0" borderId="0" xfId="0" applyNumberFormat="1" applyFont="1" applyAlignment="1">
      <alignment horizontal="left" indent="1"/>
    </xf>
    <xf numFmtId="0" fontId="23" fillId="0" borderId="0" xfId="0" applyFont="1" applyAlignment="1">
      <alignment horizontal="left" indent="1"/>
    </xf>
    <xf numFmtId="0" fontId="23" fillId="0" borderId="0" xfId="0" applyFont="1" applyAlignment="1">
      <alignment horizontal="left"/>
    </xf>
    <xf numFmtId="44" fontId="22" fillId="3" borderId="0" xfId="2" applyFont="1" applyFill="1"/>
    <xf numFmtId="2" fontId="23" fillId="0" borderId="0" xfId="0" applyNumberFormat="1" applyFont="1" applyAlignment="1">
      <alignment horizontal="left"/>
    </xf>
    <xf numFmtId="164" fontId="22" fillId="0" borderId="0" xfId="0" applyNumberFormat="1" applyFont="1"/>
    <xf numFmtId="2" fontId="22" fillId="0" borderId="0" xfId="0" applyNumberFormat="1" applyFont="1"/>
    <xf numFmtId="164" fontId="23" fillId="0" borderId="0" xfId="0" applyNumberFormat="1" applyFont="1" applyAlignment="1">
      <alignment horizontal="left"/>
    </xf>
    <xf numFmtId="164" fontId="23" fillId="0" borderId="0" xfId="0" applyNumberFormat="1" applyFont="1"/>
    <xf numFmtId="44" fontId="23" fillId="0" borderId="0" xfId="2" applyFont="1"/>
    <xf numFmtId="2" fontId="23" fillId="0" borderId="0" xfId="0" applyNumberFormat="1" applyFont="1"/>
    <xf numFmtId="44" fontId="22" fillId="0" borderId="0" xfId="2" applyFont="1"/>
    <xf numFmtId="164" fontId="22" fillId="3" borderId="0" xfId="0" applyNumberFormat="1" applyFont="1" applyFill="1"/>
    <xf numFmtId="164" fontId="23" fillId="3" borderId="0" xfId="0" applyNumberFormat="1" applyFont="1" applyFill="1" applyAlignment="1">
      <alignment horizontal="center"/>
    </xf>
    <xf numFmtId="2" fontId="22" fillId="0" borderId="0" xfId="0" applyNumberFormat="1" applyFont="1" applyAlignment="1">
      <alignment horizontal="left" indent="2"/>
    </xf>
    <xf numFmtId="164" fontId="22" fillId="0" borderId="0" xfId="0" applyNumberFormat="1" applyFont="1" applyAlignment="1">
      <alignment horizontal="left"/>
    </xf>
    <xf numFmtId="0" fontId="22" fillId="0" borderId="0" xfId="0" applyFont="1" applyAlignment="1">
      <alignment horizontal="left" indent="2"/>
    </xf>
    <xf numFmtId="2" fontId="26" fillId="0" borderId="0" xfId="0" applyNumberFormat="1" applyFont="1" applyAlignment="1">
      <alignment horizontal="left"/>
    </xf>
    <xf numFmtId="0" fontId="27" fillId="0" borderId="0" xfId="0" applyFont="1"/>
    <xf numFmtId="164" fontId="27" fillId="0" borderId="0" xfId="0" applyNumberFormat="1" applyFont="1"/>
    <xf numFmtId="2" fontId="27" fillId="0" borderId="0" xfId="0" applyNumberFormat="1" applyFont="1"/>
    <xf numFmtId="164" fontId="26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left"/>
    </xf>
    <xf numFmtId="0" fontId="26" fillId="0" borderId="0" xfId="0" applyFont="1"/>
    <xf numFmtId="2" fontId="28" fillId="0" borderId="0" xfId="0" applyNumberFormat="1" applyFont="1" applyAlignment="1">
      <alignment horizontal="left" indent="1"/>
    </xf>
    <xf numFmtId="44" fontId="23" fillId="0" borderId="0" xfId="2" applyFont="1" applyAlignment="1">
      <alignment horizontal="center"/>
    </xf>
    <xf numFmtId="2" fontId="28" fillId="0" borderId="0" xfId="0" applyNumberFormat="1" applyFont="1" applyAlignment="1">
      <alignment horizontal="left"/>
    </xf>
    <xf numFmtId="164" fontId="22" fillId="3" borderId="0" xfId="0" applyNumberFormat="1" applyFont="1" applyFill="1" applyAlignment="1">
      <alignment horizontal="center"/>
    </xf>
    <xf numFmtId="164" fontId="29" fillId="0" borderId="0" xfId="0" applyNumberFormat="1" applyFo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164" fontId="31" fillId="3" borderId="0" xfId="0" applyNumberFormat="1" applyFont="1" applyFill="1"/>
    <xf numFmtId="0" fontId="22" fillId="3" borderId="0" xfId="0" applyFont="1" applyFill="1"/>
    <xf numFmtId="164" fontId="31" fillId="0" borderId="0" xfId="0" applyNumberFormat="1" applyFont="1"/>
    <xf numFmtId="2" fontId="31" fillId="0" borderId="0" xfId="0" applyNumberFormat="1" applyFont="1"/>
    <xf numFmtId="0" fontId="29" fillId="0" borderId="0" xfId="0" applyFont="1"/>
    <xf numFmtId="2" fontId="22" fillId="0" borderId="0" xfId="0" applyNumberFormat="1" applyFont="1" applyAlignment="1">
      <alignment horizontal="left"/>
    </xf>
    <xf numFmtId="2" fontId="29" fillId="0" borderId="0" xfId="0" applyNumberFormat="1" applyFont="1" applyAlignment="1">
      <alignment horizontal="left"/>
    </xf>
    <xf numFmtId="2" fontId="31" fillId="0" borderId="0" xfId="0" applyNumberFormat="1" applyFont="1" applyAlignment="1">
      <alignment horizontal="left"/>
    </xf>
    <xf numFmtId="2" fontId="33" fillId="0" borderId="0" xfId="0" applyNumberFormat="1" applyFont="1" applyAlignment="1">
      <alignment horizontal="left"/>
    </xf>
    <xf numFmtId="0" fontId="31" fillId="0" borderId="0" xfId="0" applyFont="1"/>
    <xf numFmtId="2" fontId="28" fillId="0" borderId="0" xfId="0" applyNumberFormat="1" applyFont="1" applyAlignment="1">
      <alignment horizontal="center"/>
    </xf>
    <xf numFmtId="0" fontId="31" fillId="0" borderId="0" xfId="0" applyFont="1" applyAlignment="1">
      <alignment horizontal="left"/>
    </xf>
    <xf numFmtId="2" fontId="29" fillId="0" borderId="0" xfId="0" applyNumberFormat="1" applyFont="1"/>
    <xf numFmtId="164" fontId="31" fillId="0" borderId="0" xfId="0" applyNumberFormat="1" applyFont="1" applyAlignment="1">
      <alignment horizontal="left"/>
    </xf>
    <xf numFmtId="164" fontId="29" fillId="0" borderId="0" xfId="0" applyNumberFormat="1" applyFont="1" applyAlignment="1">
      <alignment horizontal="left"/>
    </xf>
    <xf numFmtId="2" fontId="33" fillId="0" borderId="0" xfId="0" applyNumberFormat="1" applyFont="1" applyAlignment="1">
      <alignment horizontal="left" indent="1"/>
    </xf>
    <xf numFmtId="0" fontId="34" fillId="0" borderId="0" xfId="1" applyFont="1" applyAlignment="1">
      <alignment vertical="top"/>
    </xf>
    <xf numFmtId="2" fontId="25" fillId="0" borderId="0" xfId="0" applyNumberFormat="1" applyFont="1"/>
    <xf numFmtId="164" fontId="22" fillId="4" borderId="0" xfId="0" applyNumberFormat="1" applyFont="1" applyFill="1"/>
    <xf numFmtId="164" fontId="22" fillId="4" borderId="0" xfId="0" applyNumberFormat="1" applyFont="1" applyFill="1" applyAlignment="1">
      <alignment horizontal="center"/>
    </xf>
    <xf numFmtId="0" fontId="31" fillId="3" borderId="0" xfId="0" applyFont="1" applyFill="1"/>
    <xf numFmtId="0" fontId="25" fillId="0" borderId="0" xfId="0" applyFont="1"/>
    <xf numFmtId="44" fontId="22" fillId="0" borderId="9" xfId="2" applyFont="1" applyBorder="1"/>
    <xf numFmtId="2" fontId="23" fillId="0" borderId="9" xfId="0" applyNumberFormat="1" applyFont="1" applyBorder="1" applyAlignment="1">
      <alignment horizontal="left"/>
    </xf>
    <xf numFmtId="1" fontId="22" fillId="3" borderId="9" xfId="0" applyNumberFormat="1" applyFont="1" applyFill="1" applyBorder="1"/>
    <xf numFmtId="2" fontId="22" fillId="0" borderId="9" xfId="0" applyNumberFormat="1" applyFont="1" applyBorder="1"/>
    <xf numFmtId="164" fontId="22" fillId="3" borderId="9" xfId="0" applyNumberFormat="1" applyFont="1" applyFill="1" applyBorder="1" applyAlignment="1">
      <alignment horizontal="center"/>
    </xf>
    <xf numFmtId="2" fontId="22" fillId="0" borderId="9" xfId="0" applyNumberFormat="1" applyFont="1" applyBorder="1" applyAlignment="1">
      <alignment horizontal="center"/>
    </xf>
    <xf numFmtId="164" fontId="22" fillId="0" borderId="9" xfId="0" applyNumberFormat="1" applyFont="1" applyBorder="1"/>
    <xf numFmtId="2" fontId="22" fillId="0" borderId="9" xfId="0" applyNumberFormat="1" applyFont="1" applyBorder="1" applyAlignment="1">
      <alignment horizontal="left"/>
    </xf>
    <xf numFmtId="44" fontId="15" fillId="0" borderId="5" xfId="2" applyFont="1" applyBorder="1"/>
    <xf numFmtId="0" fontId="33" fillId="0" borderId="0" xfId="0" applyFont="1" applyAlignment="1">
      <alignment horizontal="left" indent="2"/>
    </xf>
    <xf numFmtId="164" fontId="28" fillId="0" borderId="0" xfId="0" applyNumberFormat="1" applyFont="1"/>
    <xf numFmtId="164" fontId="33" fillId="0" borderId="0" xfId="0" applyNumberFormat="1" applyFont="1" applyAlignment="1">
      <alignment horizontal="left"/>
    </xf>
    <xf numFmtId="2" fontId="15" fillId="0" borderId="0" xfId="2" applyNumberFormat="1" applyFont="1" applyAlignment="1">
      <alignment horizontal="left" indent="1"/>
    </xf>
    <xf numFmtId="2" fontId="15" fillId="0" borderId="0" xfId="2" applyNumberFormat="1" applyFont="1"/>
    <xf numFmtId="0" fontId="32" fillId="0" borderId="0" xfId="0" applyFont="1" applyAlignment="1">
      <alignment horizontal="left"/>
    </xf>
    <xf numFmtId="2" fontId="32" fillId="0" borderId="0" xfId="1" applyNumberFormat="1" applyFont="1" applyAlignment="1">
      <alignment horizontal="left" vertical="top" wrapText="1"/>
    </xf>
    <xf numFmtId="1" fontId="18" fillId="0" borderId="0" xfId="2" applyNumberFormat="1" applyFont="1" applyAlignment="1">
      <alignment horizontal="center"/>
    </xf>
    <xf numFmtId="1" fontId="14" fillId="0" borderId="0" xfId="2" applyNumberFormat="1" applyFont="1" applyAlignment="1">
      <alignment horizontal="center"/>
    </xf>
    <xf numFmtId="44" fontId="8" fillId="0" borderId="0" xfId="2" applyFont="1" applyAlignment="1">
      <alignment horizontal="left"/>
    </xf>
    <xf numFmtId="44" fontId="8" fillId="0" borderId="0" xfId="2" applyFont="1" applyAlignment="1"/>
    <xf numFmtId="1" fontId="8" fillId="0" borderId="0" xfId="0" applyNumberFormat="1" applyFont="1" applyAlignment="1">
      <alignment horizontal="center"/>
    </xf>
    <xf numFmtId="2" fontId="14" fillId="0" borderId="0" xfId="2" applyNumberFormat="1" applyFont="1" applyAlignment="1">
      <alignment horizontal="center"/>
    </xf>
    <xf numFmtId="2" fontId="8" fillId="0" borderId="0" xfId="2" applyNumberFormat="1" applyFont="1" applyAlignment="1">
      <alignment horizontal="center"/>
    </xf>
    <xf numFmtId="1" fontId="14" fillId="5" borderId="0" xfId="2" applyNumberFormat="1" applyFont="1" applyFill="1" applyAlignment="1">
      <alignment horizontal="center"/>
    </xf>
    <xf numFmtId="44" fontId="8" fillId="5" borderId="0" xfId="2" applyFont="1" applyFill="1" applyAlignment="1">
      <alignment horizontal="left"/>
    </xf>
    <xf numFmtId="1" fontId="8" fillId="5" borderId="0" xfId="0" applyNumberFormat="1" applyFont="1" applyFill="1" applyAlignment="1">
      <alignment horizontal="center"/>
    </xf>
    <xf numFmtId="2" fontId="8" fillId="5" borderId="0" xfId="0" applyNumberFormat="1" applyFont="1" applyFill="1"/>
    <xf numFmtId="44" fontId="8" fillId="5" borderId="0" xfId="2" applyFont="1" applyFill="1"/>
    <xf numFmtId="1" fontId="8" fillId="0" borderId="0" xfId="0" applyNumberFormat="1" applyFont="1"/>
    <xf numFmtId="0" fontId="5" fillId="0" borderId="16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9" fillId="2" borderId="13" xfId="0" applyFont="1" applyFill="1" applyBorder="1" applyAlignment="1">
      <alignment horizontal="right"/>
    </xf>
    <xf numFmtId="0" fontId="15" fillId="0" borderId="0" xfId="2" applyNumberFormat="1" applyFont="1" applyAlignment="1">
      <alignment horizontal="right"/>
    </xf>
    <xf numFmtId="0" fontId="14" fillId="0" borderId="0" xfId="2" applyNumberFormat="1" applyFont="1" applyAlignment="1">
      <alignment horizontal="right"/>
    </xf>
    <xf numFmtId="0" fontId="7" fillId="0" borderId="0" xfId="2" applyNumberFormat="1" applyFont="1" applyAlignment="1">
      <alignment horizontal="right"/>
    </xf>
    <xf numFmtId="0" fontId="8" fillId="0" borderId="0" xfId="2" applyNumberFormat="1" applyFont="1" applyAlignment="1">
      <alignment horizontal="right"/>
    </xf>
    <xf numFmtId="1" fontId="7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4" fontId="21" fillId="2" borderId="0" xfId="2" applyFont="1" applyFill="1" applyAlignment="1">
      <alignment horizontal="center" vertical="center"/>
    </xf>
    <xf numFmtId="2" fontId="21" fillId="2" borderId="10" xfId="0" applyNumberFormat="1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164" fontId="21" fillId="2" borderId="10" xfId="0" applyNumberFormat="1" applyFont="1" applyFill="1" applyBorder="1" applyAlignment="1">
      <alignment horizontal="center" vertical="center"/>
    </xf>
    <xf numFmtId="164" fontId="21" fillId="2" borderId="10" xfId="0" applyNumberFormat="1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left" vertical="center"/>
    </xf>
  </cellXfs>
  <cellStyles count="19">
    <cellStyle name="Currency" xfId="2" builtinId="4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  <cellStyle name="Normal 2" xfId="1" xr:uid="{00000000-0005-0000-0000-00001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P28"/>
  <sheetViews>
    <sheetView topLeftCell="A4" workbookViewId="0">
      <selection activeCell="J17" sqref="J17"/>
    </sheetView>
  </sheetViews>
  <sheetFormatPr defaultColWidth="8.85546875" defaultRowHeight="15"/>
  <sheetData>
    <row r="1" spans="1:16">
      <c r="A1" t="s">
        <v>9</v>
      </c>
    </row>
    <row r="2" spans="1:16">
      <c r="A2" t="s">
        <v>10</v>
      </c>
    </row>
    <row r="3" spans="1:16">
      <c r="A3">
        <v>180.42</v>
      </c>
      <c r="B3" t="s">
        <v>11</v>
      </c>
    </row>
    <row r="4" spans="1:16">
      <c r="A4" t="s">
        <v>12</v>
      </c>
      <c r="G4" s="198" t="s">
        <v>74</v>
      </c>
      <c r="H4" s="198"/>
      <c r="I4" s="198"/>
      <c r="J4" s="198"/>
      <c r="K4" s="198"/>
      <c r="L4" s="198"/>
      <c r="M4" s="198"/>
      <c r="N4" s="198"/>
      <c r="O4" s="198"/>
      <c r="P4" s="198"/>
    </row>
    <row r="5" spans="1:16">
      <c r="A5" s="1">
        <v>0.33</v>
      </c>
      <c r="G5" s="198"/>
      <c r="H5" s="198"/>
      <c r="I5" s="198"/>
      <c r="J5" s="198"/>
      <c r="K5" s="198"/>
      <c r="L5" s="198"/>
      <c r="M5" s="198"/>
      <c r="N5" s="198"/>
      <c r="O5" s="198"/>
      <c r="P5" s="198"/>
    </row>
    <row r="6" spans="1:16">
      <c r="A6" t="s">
        <v>13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</row>
    <row r="7" spans="1:16">
      <c r="A7" s="1">
        <v>0.5</v>
      </c>
      <c r="G7" s="198"/>
      <c r="H7" s="198"/>
      <c r="I7" s="198"/>
      <c r="J7" s="198"/>
      <c r="K7" s="198"/>
      <c r="L7" s="198"/>
      <c r="M7" s="198"/>
      <c r="N7" s="198"/>
      <c r="O7" s="198"/>
      <c r="P7" s="198"/>
    </row>
    <row r="8" spans="1:16">
      <c r="A8" t="s">
        <v>14</v>
      </c>
      <c r="G8" s="198"/>
      <c r="H8" s="198"/>
      <c r="I8" s="198"/>
      <c r="J8" s="198"/>
      <c r="K8" s="198"/>
      <c r="L8" s="198"/>
      <c r="M8" s="198"/>
      <c r="N8" s="198"/>
      <c r="O8" s="198"/>
      <c r="P8" s="198"/>
    </row>
    <row r="9" spans="1:16">
      <c r="A9" s="1">
        <v>0.17</v>
      </c>
      <c r="G9" s="198"/>
      <c r="H9" s="198"/>
      <c r="I9" s="198"/>
      <c r="J9" s="198"/>
      <c r="K9" s="198"/>
      <c r="L9" s="198"/>
      <c r="M9" s="198"/>
      <c r="N9" s="198"/>
      <c r="O9" s="198"/>
      <c r="P9" s="198"/>
    </row>
    <row r="10" spans="1:16">
      <c r="C10" t="s">
        <v>89</v>
      </c>
      <c r="D10" t="s">
        <v>101</v>
      </c>
      <c r="G10" s="198"/>
      <c r="H10" s="198"/>
      <c r="I10" s="198"/>
      <c r="J10" s="198"/>
      <c r="K10" s="198"/>
      <c r="L10" s="198"/>
      <c r="M10" s="198"/>
      <c r="N10" s="198"/>
      <c r="O10" s="198"/>
      <c r="P10" s="198"/>
    </row>
    <row r="11" spans="1:16">
      <c r="A11" t="s">
        <v>22</v>
      </c>
      <c r="C11" t="s">
        <v>84</v>
      </c>
      <c r="D11" t="s">
        <v>87</v>
      </c>
    </row>
    <row r="12" spans="1:16">
      <c r="A12" t="s">
        <v>23</v>
      </c>
      <c r="C12" t="s">
        <v>85</v>
      </c>
      <c r="D12" t="s">
        <v>88</v>
      </c>
    </row>
    <row r="13" spans="1:16">
      <c r="A13" t="s">
        <v>2</v>
      </c>
      <c r="C13" t="s">
        <v>86</v>
      </c>
    </row>
    <row r="14" spans="1:16">
      <c r="A14" t="s">
        <v>18</v>
      </c>
      <c r="C14" t="s">
        <v>297</v>
      </c>
    </row>
    <row r="15" spans="1:16">
      <c r="A15" t="s">
        <v>7</v>
      </c>
    </row>
    <row r="16" spans="1:16">
      <c r="A16" t="s">
        <v>4</v>
      </c>
    </row>
    <row r="17" spans="1:1">
      <c r="A17" t="s">
        <v>24</v>
      </c>
    </row>
    <row r="18" spans="1:1">
      <c r="A18" t="s">
        <v>25</v>
      </c>
    </row>
    <row r="19" spans="1:1">
      <c r="A19" t="s">
        <v>51</v>
      </c>
    </row>
    <row r="20" spans="1:1">
      <c r="A20" t="s">
        <v>5</v>
      </c>
    </row>
    <row r="21" spans="1:1">
      <c r="A21" t="s">
        <v>8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122</v>
      </c>
    </row>
    <row r="26" spans="1:1">
      <c r="A26" t="s">
        <v>298</v>
      </c>
    </row>
    <row r="27" spans="1:1">
      <c r="A27" t="s">
        <v>268</v>
      </c>
    </row>
    <row r="28" spans="1:1">
      <c r="A28" t="s">
        <v>299</v>
      </c>
    </row>
  </sheetData>
  <mergeCells count="1">
    <mergeCell ref="G4:P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D363"/>
  <sheetViews>
    <sheetView workbookViewId="0">
      <pane ySplit="3" topLeftCell="A4" activePane="bottomLeft" state="frozen"/>
      <selection pane="bottomLeft" activeCell="B236" sqref="B236"/>
    </sheetView>
  </sheetViews>
  <sheetFormatPr defaultColWidth="8.85546875" defaultRowHeight="11.25" outlineLevelCol="1"/>
  <cols>
    <col min="1" max="1" width="9" style="106" customWidth="1"/>
    <col min="2" max="2" width="63.85546875" style="70" bestFit="1" customWidth="1"/>
    <col min="3" max="3" width="7.42578125" style="69" customWidth="1" outlineLevel="1"/>
    <col min="4" max="4" width="9.7109375" style="107" customWidth="1" outlineLevel="1"/>
    <col min="5" max="5" width="7.140625" style="108" customWidth="1" outlineLevel="1"/>
    <col min="6" max="6" width="10.42578125" style="107" customWidth="1" outlineLevel="1"/>
    <col min="7" max="7" width="9.28515625" style="107" customWidth="1" outlineLevel="1"/>
    <col min="8" max="8" width="11" style="69" customWidth="1" outlineLevel="1"/>
    <col min="9" max="9" width="9.7109375" style="107" customWidth="1" outlineLevel="1"/>
    <col min="10" max="10" width="11.42578125" style="69" customWidth="1" outlineLevel="1"/>
    <col min="11" max="11" width="8.85546875" style="107" customWidth="1" outlineLevel="1"/>
    <col min="12" max="13" width="10.28515625" style="95" customWidth="1" outlineLevel="1"/>
    <col min="14" max="14" width="10.140625" style="107" customWidth="1"/>
    <col min="15" max="15" width="8.140625" style="100" customWidth="1"/>
    <col min="16" max="16" width="9.28515625" style="69" hidden="1" customWidth="1" outlineLevel="1"/>
    <col min="17" max="21" width="8.85546875" style="69" hidden="1" customWidth="1" outlineLevel="1"/>
    <col min="22" max="22" width="12.85546875" style="113" customWidth="1" collapsed="1"/>
    <col min="23" max="16384" width="8.85546875" style="69"/>
  </cols>
  <sheetData>
    <row r="1" spans="1:30" s="70" customFormat="1" ht="14.45" customHeight="1">
      <c r="A1" s="203" t="s">
        <v>0</v>
      </c>
      <c r="B1" s="207" t="s">
        <v>21</v>
      </c>
      <c r="C1" s="204" t="s">
        <v>15</v>
      </c>
      <c r="D1" s="204"/>
      <c r="E1" s="204"/>
      <c r="F1" s="204"/>
      <c r="G1" s="204"/>
      <c r="H1" s="204"/>
      <c r="I1" s="204"/>
      <c r="J1" s="204"/>
      <c r="K1" s="204"/>
      <c r="L1" s="205" t="s">
        <v>16</v>
      </c>
      <c r="M1" s="206" t="s">
        <v>69</v>
      </c>
      <c r="N1" s="205" t="s">
        <v>3</v>
      </c>
      <c r="O1" s="204" t="s">
        <v>47</v>
      </c>
      <c r="P1" s="200" t="s">
        <v>31</v>
      </c>
      <c r="Q1" s="201"/>
      <c r="R1" s="201"/>
      <c r="S1" s="201"/>
      <c r="T1" s="201"/>
      <c r="U1" s="199" t="s">
        <v>32</v>
      </c>
      <c r="V1" s="202" t="s">
        <v>46</v>
      </c>
      <c r="W1" s="69"/>
      <c r="X1" s="69"/>
      <c r="Y1" s="69"/>
      <c r="Z1" s="69"/>
      <c r="AA1" s="69"/>
      <c r="AB1" s="69"/>
      <c r="AC1" s="69"/>
      <c r="AD1" s="69"/>
    </row>
    <row r="2" spans="1:30" s="70" customFormat="1">
      <c r="A2" s="203"/>
      <c r="B2" s="207"/>
      <c r="C2" s="204"/>
      <c r="D2" s="204"/>
      <c r="E2" s="204"/>
      <c r="F2" s="204"/>
      <c r="G2" s="204"/>
      <c r="H2" s="204"/>
      <c r="I2" s="204"/>
      <c r="J2" s="204"/>
      <c r="K2" s="204"/>
      <c r="L2" s="205"/>
      <c r="M2" s="206"/>
      <c r="N2" s="205"/>
      <c r="O2" s="204"/>
      <c r="P2" s="200"/>
      <c r="Q2" s="201"/>
      <c r="R2" s="201"/>
      <c r="S2" s="201"/>
      <c r="T2" s="201"/>
      <c r="U2" s="199"/>
      <c r="V2" s="202"/>
      <c r="W2" s="69"/>
      <c r="X2" s="69"/>
      <c r="Y2" s="69"/>
      <c r="Z2" s="69"/>
      <c r="AA2" s="69"/>
      <c r="AB2" s="69"/>
      <c r="AC2" s="69"/>
      <c r="AD2" s="69"/>
    </row>
    <row r="3" spans="1:30" s="81" customFormat="1" ht="33.75">
      <c r="A3" s="203"/>
      <c r="B3" s="207"/>
      <c r="C3" s="71" t="s">
        <v>48</v>
      </c>
      <c r="D3" s="72" t="s">
        <v>42</v>
      </c>
      <c r="E3" s="73" t="s">
        <v>43</v>
      </c>
      <c r="F3" s="74" t="s">
        <v>107</v>
      </c>
      <c r="G3" s="75" t="s">
        <v>68</v>
      </c>
      <c r="H3" s="76" t="s">
        <v>108</v>
      </c>
      <c r="I3" s="75" t="s">
        <v>49</v>
      </c>
      <c r="J3" s="76" t="s">
        <v>109</v>
      </c>
      <c r="K3" s="75" t="s">
        <v>50</v>
      </c>
      <c r="L3" s="205"/>
      <c r="M3" s="206"/>
      <c r="N3" s="205"/>
      <c r="O3" s="204"/>
      <c r="P3" s="77" t="s">
        <v>26</v>
      </c>
      <c r="Q3" s="78" t="s">
        <v>27</v>
      </c>
      <c r="R3" s="78" t="s">
        <v>28</v>
      </c>
      <c r="S3" s="78" t="s">
        <v>30</v>
      </c>
      <c r="T3" s="79" t="s">
        <v>29</v>
      </c>
      <c r="U3" s="199"/>
      <c r="V3" s="202"/>
      <c r="W3" s="80"/>
      <c r="X3" s="78"/>
      <c r="Y3" s="78"/>
      <c r="Z3" s="78"/>
      <c r="AA3" s="78"/>
      <c r="AB3" s="78"/>
      <c r="AC3" s="78"/>
      <c r="AD3" s="78"/>
    </row>
    <row r="4" spans="1:30" s="81" customFormat="1">
      <c r="A4" s="82"/>
      <c r="B4" s="83" t="s">
        <v>125</v>
      </c>
      <c r="C4" s="84" t="s">
        <v>306</v>
      </c>
      <c r="D4" s="84"/>
      <c r="E4" s="84"/>
      <c r="F4" s="84"/>
      <c r="G4" s="85"/>
      <c r="H4" s="86" t="s">
        <v>82</v>
      </c>
      <c r="I4" s="87">
        <v>180203</v>
      </c>
      <c r="J4" s="86"/>
      <c r="K4" s="85"/>
      <c r="L4" s="88"/>
      <c r="M4" s="89"/>
      <c r="N4" s="88"/>
      <c r="O4" s="90"/>
      <c r="P4" s="69"/>
      <c r="Q4" s="78"/>
      <c r="R4" s="78"/>
      <c r="S4" s="78"/>
      <c r="T4" s="79"/>
      <c r="U4" s="86"/>
      <c r="V4" s="91"/>
      <c r="W4" s="80"/>
      <c r="X4" s="78"/>
      <c r="Y4" s="78"/>
      <c r="Z4" s="78"/>
      <c r="AA4" s="78"/>
      <c r="AB4" s="78"/>
      <c r="AC4" s="78"/>
      <c r="AD4" s="78"/>
    </row>
    <row r="5" spans="1:30" s="81" customFormat="1">
      <c r="A5" s="82"/>
      <c r="B5" s="83" t="s">
        <v>123</v>
      </c>
      <c r="C5" s="92" t="s">
        <v>297</v>
      </c>
      <c r="D5" s="92"/>
      <c r="E5" s="92"/>
      <c r="F5" s="92"/>
      <c r="G5" s="85"/>
      <c r="H5" s="86" t="s">
        <v>79</v>
      </c>
      <c r="I5" s="93">
        <v>43420</v>
      </c>
      <c r="J5" s="86" t="s">
        <v>83</v>
      </c>
      <c r="K5" s="85"/>
      <c r="L5" s="88"/>
      <c r="M5" s="89"/>
      <c r="N5" s="88"/>
      <c r="O5" s="90"/>
      <c r="P5" s="69"/>
      <c r="Q5" s="78"/>
      <c r="R5" s="78"/>
      <c r="S5" s="78"/>
      <c r="T5" s="79"/>
      <c r="U5" s="86"/>
      <c r="V5" s="91"/>
      <c r="W5" s="80"/>
      <c r="X5" s="78"/>
      <c r="Y5" s="78"/>
      <c r="Z5" s="78"/>
      <c r="AA5" s="78"/>
      <c r="AB5" s="78"/>
      <c r="AC5" s="78"/>
      <c r="AD5" s="78"/>
    </row>
    <row r="6" spans="1:30" s="81" customFormat="1">
      <c r="A6" s="82"/>
      <c r="B6" s="83" t="s">
        <v>124</v>
      </c>
      <c r="C6" s="92" t="s">
        <v>86</v>
      </c>
      <c r="D6" s="92"/>
      <c r="E6" s="92"/>
      <c r="F6" s="92"/>
      <c r="G6" s="85"/>
      <c r="H6" s="86" t="s">
        <v>80</v>
      </c>
      <c r="I6" s="94" t="s">
        <v>87</v>
      </c>
      <c r="J6" s="86"/>
      <c r="K6" s="85"/>
      <c r="L6" s="88"/>
      <c r="M6" s="89"/>
      <c r="N6" s="88"/>
      <c r="O6" s="90"/>
      <c r="P6" s="69"/>
      <c r="Q6" s="78"/>
      <c r="R6" s="78"/>
      <c r="S6" s="78"/>
      <c r="T6" s="79"/>
      <c r="U6" s="86"/>
      <c r="V6" s="91"/>
      <c r="W6" s="80"/>
      <c r="X6" s="78"/>
      <c r="Y6" s="78"/>
      <c r="Z6" s="78"/>
      <c r="AA6" s="78"/>
      <c r="AB6" s="78"/>
      <c r="AC6" s="78"/>
      <c r="AD6" s="78"/>
    </row>
    <row r="7" spans="1:30" s="81" customFormat="1">
      <c r="A7" s="82"/>
      <c r="B7" s="83"/>
      <c r="D7" s="95"/>
      <c r="E7" s="96"/>
      <c r="F7" s="95"/>
      <c r="G7" s="97"/>
      <c r="H7" s="78"/>
      <c r="I7" s="97"/>
      <c r="J7" s="78"/>
      <c r="K7" s="97"/>
      <c r="L7" s="88"/>
      <c r="M7" s="88"/>
      <c r="N7" s="88"/>
      <c r="O7" s="90"/>
      <c r="P7" s="69"/>
      <c r="Q7" s="78"/>
      <c r="R7" s="78"/>
      <c r="S7" s="78"/>
      <c r="T7" s="79"/>
      <c r="U7" s="86"/>
      <c r="V7" s="91"/>
      <c r="W7" s="80"/>
      <c r="X7" s="78"/>
      <c r="Y7" s="78"/>
      <c r="Z7" s="78"/>
      <c r="AA7" s="78"/>
      <c r="AB7" s="78"/>
      <c r="AC7" s="78"/>
      <c r="AD7" s="78"/>
    </row>
    <row r="8" spans="1:30" s="81" customFormat="1">
      <c r="A8" s="98">
        <v>1</v>
      </c>
      <c r="B8" s="99" t="s">
        <v>19</v>
      </c>
      <c r="C8" s="78"/>
      <c r="D8" s="95"/>
      <c r="E8" s="96"/>
      <c r="F8" s="95"/>
      <c r="G8" s="95"/>
      <c r="H8" s="78"/>
      <c r="I8" s="95"/>
      <c r="J8" s="78"/>
      <c r="K8" s="95"/>
      <c r="L8" s="95"/>
      <c r="M8" s="95"/>
      <c r="N8" s="95"/>
      <c r="O8" s="100"/>
      <c r="V8" s="101"/>
      <c r="W8" s="78"/>
      <c r="X8" s="78"/>
      <c r="Y8" s="78"/>
      <c r="Z8" s="78"/>
      <c r="AA8" s="78"/>
      <c r="AB8" s="78"/>
      <c r="AC8" s="78"/>
      <c r="AD8" s="78"/>
    </row>
    <row r="9" spans="1:30" s="78" customFormat="1">
      <c r="A9" s="102">
        <v>1.01</v>
      </c>
      <c r="B9" s="103" t="s">
        <v>61</v>
      </c>
      <c r="D9" s="95"/>
      <c r="E9" s="96"/>
      <c r="F9" s="95"/>
      <c r="G9" s="95"/>
      <c r="I9" s="95"/>
      <c r="K9" s="95"/>
      <c r="L9" s="95"/>
      <c r="M9" s="95"/>
      <c r="N9" s="95">
        <v>1</v>
      </c>
      <c r="O9" s="104" t="s">
        <v>72</v>
      </c>
      <c r="V9" s="105">
        <v>0</v>
      </c>
    </row>
    <row r="10" spans="1:30" s="78" customFormat="1">
      <c r="A10" s="102">
        <v>1.02</v>
      </c>
      <c r="B10" s="103" t="s">
        <v>62</v>
      </c>
      <c r="D10" s="95"/>
      <c r="E10" s="96"/>
      <c r="F10" s="95"/>
      <c r="G10" s="95"/>
      <c r="I10" s="95"/>
      <c r="K10" s="95"/>
      <c r="L10" s="95"/>
      <c r="M10" s="95"/>
      <c r="N10" s="95">
        <v>1</v>
      </c>
      <c r="O10" s="104" t="s">
        <v>71</v>
      </c>
      <c r="V10" s="105">
        <v>0</v>
      </c>
    </row>
    <row r="11" spans="1:30" s="78" customFormat="1">
      <c r="A11" s="102">
        <v>1.03</v>
      </c>
      <c r="B11" s="103" t="s">
        <v>63</v>
      </c>
      <c r="D11" s="95"/>
      <c r="E11" s="96"/>
      <c r="F11" s="95"/>
      <c r="G11" s="95"/>
      <c r="I11" s="95"/>
      <c r="K11" s="95"/>
      <c r="L11" s="95"/>
      <c r="M11" s="95"/>
      <c r="N11" s="95">
        <v>1</v>
      </c>
      <c r="O11" s="104" t="s">
        <v>72</v>
      </c>
      <c r="V11" s="105">
        <v>0</v>
      </c>
    </row>
    <row r="12" spans="1:30" s="78" customFormat="1">
      <c r="A12" s="102">
        <v>1.04</v>
      </c>
      <c r="B12" s="103" t="s">
        <v>64</v>
      </c>
      <c r="D12" s="95"/>
      <c r="E12" s="96"/>
      <c r="F12" s="95"/>
      <c r="G12" s="95"/>
      <c r="I12" s="95"/>
      <c r="K12" s="95"/>
      <c r="L12" s="95"/>
      <c r="M12" s="95"/>
      <c r="N12" s="95">
        <v>1</v>
      </c>
      <c r="O12" s="104" t="s">
        <v>71</v>
      </c>
      <c r="V12" s="105">
        <v>0</v>
      </c>
    </row>
    <row r="13" spans="1:30" s="78" customFormat="1">
      <c r="A13" s="102">
        <v>1.05</v>
      </c>
      <c r="B13" s="103" t="s">
        <v>65</v>
      </c>
      <c r="D13" s="95"/>
      <c r="E13" s="96"/>
      <c r="F13" s="95"/>
      <c r="G13" s="95"/>
      <c r="I13" s="95"/>
      <c r="K13" s="95"/>
      <c r="L13" s="95"/>
      <c r="M13" s="95"/>
      <c r="N13" s="95">
        <v>1</v>
      </c>
      <c r="O13" s="104" t="s">
        <v>72</v>
      </c>
      <c r="V13" s="105">
        <v>0</v>
      </c>
    </row>
    <row r="14" spans="1:30" s="78" customFormat="1">
      <c r="A14" s="102"/>
      <c r="B14" s="103"/>
      <c r="D14" s="95"/>
      <c r="E14" s="96"/>
      <c r="F14" s="95"/>
      <c r="G14" s="95"/>
      <c r="I14" s="95"/>
      <c r="K14" s="95"/>
      <c r="L14" s="95"/>
      <c r="M14" s="95"/>
      <c r="N14" s="95"/>
      <c r="O14" s="104"/>
      <c r="V14" s="101"/>
    </row>
    <row r="15" spans="1:30" s="70" customFormat="1">
      <c r="A15" s="106"/>
      <c r="B15" s="102" t="s">
        <v>36</v>
      </c>
      <c r="C15" s="69"/>
      <c r="D15" s="107"/>
      <c r="E15" s="108"/>
      <c r="F15" s="107"/>
      <c r="G15" s="107"/>
      <c r="H15" s="69"/>
      <c r="I15" s="107"/>
      <c r="J15" s="69"/>
      <c r="K15" s="107"/>
      <c r="L15" s="97"/>
      <c r="M15" s="97"/>
      <c r="O15" s="109"/>
      <c r="U15" s="110"/>
      <c r="V15" s="111">
        <f>SUM(V9:V13)</f>
        <v>0</v>
      </c>
    </row>
    <row r="16" spans="1:30">
      <c r="B16" s="112"/>
      <c r="O16" s="109"/>
    </row>
    <row r="17" spans="1:30" s="81" customFormat="1">
      <c r="A17" s="98">
        <v>2</v>
      </c>
      <c r="B17" s="98" t="s">
        <v>20</v>
      </c>
      <c r="C17" s="78"/>
      <c r="D17" s="95"/>
      <c r="E17" s="96"/>
      <c r="F17" s="95"/>
      <c r="G17" s="95"/>
      <c r="H17" s="78"/>
      <c r="I17" s="95"/>
      <c r="J17" s="78"/>
      <c r="K17" s="95"/>
      <c r="L17" s="95"/>
      <c r="M17" s="95"/>
      <c r="N17" s="107"/>
      <c r="O17" s="104"/>
      <c r="P17" s="78"/>
      <c r="Q17" s="78"/>
      <c r="R17" s="78"/>
      <c r="S17" s="78"/>
      <c r="T17" s="78"/>
      <c r="U17" s="78"/>
      <c r="V17" s="101"/>
      <c r="W17" s="78"/>
      <c r="X17" s="78"/>
      <c r="Y17" s="78"/>
      <c r="Z17" s="78"/>
      <c r="AA17" s="78"/>
      <c r="AB17" s="78"/>
      <c r="AC17" s="78"/>
      <c r="AD17" s="78"/>
    </row>
    <row r="18" spans="1:30" s="78" customFormat="1">
      <c r="A18" s="102">
        <v>2.0099999999999998</v>
      </c>
      <c r="B18" s="103" t="s">
        <v>66</v>
      </c>
      <c r="D18" s="95"/>
      <c r="E18" s="96"/>
      <c r="F18" s="95"/>
      <c r="G18" s="95"/>
      <c r="I18" s="95"/>
      <c r="K18" s="95"/>
      <c r="L18" s="95"/>
      <c r="M18" s="95"/>
      <c r="N18" s="107">
        <v>1</v>
      </c>
      <c r="O18" s="104" t="s">
        <v>72</v>
      </c>
      <c r="V18" s="105">
        <v>0</v>
      </c>
    </row>
    <row r="19" spans="1:30" s="78" customFormat="1">
      <c r="A19" s="102">
        <v>2.02</v>
      </c>
      <c r="B19" s="103" t="s">
        <v>58</v>
      </c>
      <c r="D19" s="95"/>
      <c r="E19" s="96"/>
      <c r="F19" s="95"/>
      <c r="G19" s="95"/>
      <c r="I19" s="95"/>
      <c r="K19" s="95"/>
      <c r="L19" s="95"/>
      <c r="M19" s="95"/>
      <c r="N19" s="107">
        <v>1</v>
      </c>
      <c r="O19" s="104" t="s">
        <v>72</v>
      </c>
      <c r="V19" s="105">
        <v>0</v>
      </c>
    </row>
    <row r="20" spans="1:30" s="78" customFormat="1">
      <c r="A20" s="102">
        <v>2.0299999999999998</v>
      </c>
      <c r="B20" s="103" t="s">
        <v>59</v>
      </c>
      <c r="D20" s="95"/>
      <c r="E20" s="96"/>
      <c r="F20" s="95"/>
      <c r="G20" s="95"/>
      <c r="I20" s="95"/>
      <c r="K20" s="95"/>
      <c r="L20" s="95"/>
      <c r="M20" s="95"/>
      <c r="N20" s="107">
        <v>1</v>
      </c>
      <c r="O20" s="104" t="s">
        <v>72</v>
      </c>
      <c r="V20" s="105">
        <v>0</v>
      </c>
    </row>
    <row r="21" spans="1:30" s="78" customFormat="1">
      <c r="A21" s="102">
        <v>2.04</v>
      </c>
      <c r="B21" s="103" t="s">
        <v>60</v>
      </c>
      <c r="D21" s="95"/>
      <c r="E21" s="96"/>
      <c r="F21" s="95"/>
      <c r="G21" s="95"/>
      <c r="I21" s="95"/>
      <c r="K21" s="95"/>
      <c r="L21" s="95"/>
      <c r="M21" s="95"/>
      <c r="N21" s="107">
        <v>1</v>
      </c>
      <c r="O21" s="104" t="s">
        <v>72</v>
      </c>
      <c r="V21" s="105">
        <v>0</v>
      </c>
    </row>
    <row r="22" spans="1:30" s="78" customFormat="1">
      <c r="A22" s="102"/>
      <c r="B22" s="104"/>
      <c r="D22" s="95"/>
      <c r="E22" s="96"/>
      <c r="F22" s="95"/>
      <c r="G22" s="95"/>
      <c r="I22" s="95"/>
      <c r="K22" s="95"/>
      <c r="L22" s="95"/>
      <c r="M22" s="95"/>
      <c r="N22" s="107"/>
      <c r="O22" s="100"/>
      <c r="V22" s="101"/>
    </row>
    <row r="23" spans="1:30" s="70" customFormat="1">
      <c r="A23" s="106"/>
      <c r="B23" s="102" t="s">
        <v>36</v>
      </c>
      <c r="C23" s="69"/>
      <c r="D23" s="107"/>
      <c r="E23" s="108"/>
      <c r="F23" s="107"/>
      <c r="G23" s="107"/>
      <c r="H23" s="69"/>
      <c r="I23" s="107"/>
      <c r="J23" s="69"/>
      <c r="K23" s="107"/>
      <c r="L23" s="97"/>
      <c r="M23" s="97"/>
      <c r="O23" s="109"/>
      <c r="U23" s="110"/>
      <c r="V23" s="111">
        <f>SUM(V18:V21)</f>
        <v>0</v>
      </c>
    </row>
    <row r="24" spans="1:30" s="70" customFormat="1">
      <c r="A24" s="106"/>
      <c r="B24" s="102"/>
      <c r="C24" s="69"/>
      <c r="D24" s="107"/>
      <c r="E24" s="108"/>
      <c r="F24" s="107"/>
      <c r="G24" s="107"/>
      <c r="H24" s="69"/>
      <c r="I24" s="107"/>
      <c r="J24" s="69"/>
      <c r="K24" s="107"/>
      <c r="L24" s="97"/>
      <c r="M24" s="97"/>
      <c r="O24" s="109"/>
      <c r="U24" s="110"/>
      <c r="V24" s="111"/>
    </row>
    <row r="25" spans="1:30" s="70" customFormat="1">
      <c r="A25" s="98">
        <v>3</v>
      </c>
      <c r="B25" s="98" t="s">
        <v>104</v>
      </c>
      <c r="C25" s="69"/>
      <c r="D25" s="107"/>
      <c r="E25" s="108"/>
      <c r="F25" s="107"/>
      <c r="G25" s="107"/>
      <c r="H25" s="69"/>
      <c r="I25" s="107"/>
      <c r="J25" s="69"/>
      <c r="K25" s="107"/>
      <c r="L25" s="97"/>
      <c r="M25" s="97"/>
      <c r="O25" s="109"/>
      <c r="U25" s="110"/>
      <c r="V25" s="111"/>
    </row>
    <row r="26" spans="1:30" s="70" customFormat="1">
      <c r="A26" s="102">
        <v>3.01</v>
      </c>
      <c r="B26" s="102" t="s">
        <v>57</v>
      </c>
      <c r="C26" s="107"/>
      <c r="D26" s="107"/>
      <c r="E26" s="108"/>
      <c r="F26" s="107"/>
      <c r="G26" s="114"/>
      <c r="H26" s="69"/>
      <c r="I26" s="107"/>
      <c r="J26" s="69"/>
      <c r="K26" s="107"/>
      <c r="L26" s="115">
        <f>G26</f>
        <v>0</v>
      </c>
      <c r="M26" s="97"/>
      <c r="N26" s="110">
        <f>ROUND(L26,0)</f>
        <v>0</v>
      </c>
      <c r="O26" s="109" t="s">
        <v>2</v>
      </c>
      <c r="U26" s="110"/>
      <c r="V26" s="111"/>
    </row>
    <row r="27" spans="1:30" s="70" customFormat="1">
      <c r="A27" s="102"/>
      <c r="B27" s="116" t="s">
        <v>52</v>
      </c>
      <c r="C27" s="69"/>
      <c r="D27" s="107"/>
      <c r="E27" s="108"/>
      <c r="F27" s="107"/>
      <c r="G27" s="107"/>
      <c r="H27" s="69"/>
      <c r="I27" s="107"/>
      <c r="J27" s="69"/>
      <c r="K27" s="107"/>
      <c r="L27" s="95">
        <f>N26/5.8</f>
        <v>0</v>
      </c>
      <c r="M27" s="95">
        <f>L27*10%</f>
        <v>0</v>
      </c>
      <c r="N27" s="107">
        <f t="shared" ref="N27:N30" si="0">L27+M27</f>
        <v>0</v>
      </c>
      <c r="O27" s="117" t="s">
        <v>23</v>
      </c>
      <c r="U27" s="110"/>
      <c r="V27" s="113">
        <v>0</v>
      </c>
    </row>
    <row r="28" spans="1:30" s="70" customFormat="1">
      <c r="A28" s="102"/>
      <c r="B28" s="116" t="s">
        <v>53</v>
      </c>
      <c r="C28" s="69"/>
      <c r="D28" s="107"/>
      <c r="E28" s="108"/>
      <c r="F28" s="107"/>
      <c r="G28" s="107"/>
      <c r="H28" s="69"/>
      <c r="I28" s="107"/>
      <c r="J28" s="69"/>
      <c r="K28" s="107"/>
      <c r="L28" s="95">
        <f>50%*N26</f>
        <v>0</v>
      </c>
      <c r="M28" s="95">
        <f>L28*10%</f>
        <v>0</v>
      </c>
      <c r="N28" s="107">
        <f t="shared" si="0"/>
        <v>0</v>
      </c>
      <c r="O28" s="117" t="s">
        <v>23</v>
      </c>
      <c r="U28" s="110"/>
      <c r="V28" s="113">
        <v>0</v>
      </c>
    </row>
    <row r="29" spans="1:30" s="70" customFormat="1">
      <c r="A29" s="102">
        <v>3.02</v>
      </c>
      <c r="B29" s="102" t="s">
        <v>56</v>
      </c>
      <c r="C29" s="69"/>
      <c r="D29" s="107"/>
      <c r="E29" s="108"/>
      <c r="F29" s="107"/>
      <c r="G29" s="114"/>
      <c r="H29" s="69"/>
      <c r="I29" s="107"/>
      <c r="J29" s="69"/>
      <c r="K29" s="107"/>
      <c r="L29" s="115">
        <f>G29</f>
        <v>0</v>
      </c>
      <c r="M29" s="97"/>
      <c r="N29" s="110">
        <f>L29+M29</f>
        <v>0</v>
      </c>
      <c r="O29" s="109" t="s">
        <v>2</v>
      </c>
      <c r="U29" s="110"/>
      <c r="V29" s="113"/>
    </row>
    <row r="30" spans="1:30" s="70" customFormat="1">
      <c r="A30" s="102"/>
      <c r="B30" s="116" t="s">
        <v>54</v>
      </c>
      <c r="C30" s="69"/>
      <c r="D30" s="107"/>
      <c r="E30" s="108"/>
      <c r="F30" s="107"/>
      <c r="G30" s="107"/>
      <c r="H30" s="69"/>
      <c r="I30" s="107"/>
      <c r="J30" s="69"/>
      <c r="K30" s="107"/>
      <c r="L30" s="95">
        <f>N29/30</f>
        <v>0</v>
      </c>
      <c r="M30" s="95">
        <f>L30*10%</f>
        <v>0</v>
      </c>
      <c r="N30" s="107">
        <f t="shared" si="0"/>
        <v>0</v>
      </c>
      <c r="O30" s="117" t="s">
        <v>8</v>
      </c>
      <c r="U30" s="110"/>
      <c r="V30" s="113">
        <v>0</v>
      </c>
    </row>
    <row r="31" spans="1:30">
      <c r="A31" s="102"/>
      <c r="B31" s="118" t="s">
        <v>55</v>
      </c>
      <c r="L31" s="95">
        <f>(3*N29)/100</f>
        <v>0</v>
      </c>
      <c r="M31" s="95">
        <f>L31*10%</f>
        <v>0</v>
      </c>
      <c r="N31" s="107">
        <f>L31+M31</f>
        <v>0</v>
      </c>
      <c r="O31" s="100" t="s">
        <v>8</v>
      </c>
      <c r="V31" s="113">
        <v>0</v>
      </c>
    </row>
    <row r="32" spans="1:30">
      <c r="A32" s="102">
        <v>3.03</v>
      </c>
      <c r="B32" s="103" t="s">
        <v>90</v>
      </c>
      <c r="K32" s="114"/>
      <c r="L32" s="115">
        <f>K32</f>
        <v>0</v>
      </c>
      <c r="M32" s="97"/>
      <c r="N32" s="110">
        <f t="shared" ref="N32" si="1">L32+M32</f>
        <v>0</v>
      </c>
      <c r="O32" s="104" t="s">
        <v>17</v>
      </c>
    </row>
    <row r="33" spans="1:30" s="81" customFormat="1">
      <c r="A33" s="102"/>
      <c r="B33" s="118" t="s">
        <v>33</v>
      </c>
      <c r="C33" s="95"/>
      <c r="E33" s="96"/>
      <c r="F33" s="95"/>
      <c r="G33" s="95"/>
      <c r="H33" s="78"/>
      <c r="I33" s="95"/>
      <c r="J33" s="78"/>
      <c r="K33" s="95"/>
      <c r="L33" s="95">
        <f>N32*8</f>
        <v>0</v>
      </c>
      <c r="M33" s="95">
        <f>10%*L33</f>
        <v>0</v>
      </c>
      <c r="N33" s="107">
        <f>L33+M33</f>
        <v>0</v>
      </c>
      <c r="O33" s="100" t="s">
        <v>5</v>
      </c>
      <c r="P33" s="78"/>
      <c r="Q33" s="78"/>
      <c r="R33" s="78"/>
      <c r="S33" s="78"/>
      <c r="T33" s="78"/>
      <c r="U33" s="78"/>
      <c r="V33" s="113">
        <v>0</v>
      </c>
      <c r="W33" s="78"/>
      <c r="X33" s="78"/>
      <c r="Y33" s="78"/>
      <c r="Z33" s="78"/>
      <c r="AA33" s="78"/>
      <c r="AB33" s="78"/>
      <c r="AC33" s="78"/>
      <c r="AD33" s="78"/>
    </row>
    <row r="34" spans="1:30" s="81" customFormat="1">
      <c r="A34" s="102"/>
      <c r="B34" s="118" t="s">
        <v>34</v>
      </c>
      <c r="C34" s="78"/>
      <c r="D34" s="95"/>
      <c r="E34" s="96"/>
      <c r="F34" s="95"/>
      <c r="G34" s="95"/>
      <c r="H34" s="78"/>
      <c r="I34" s="95"/>
      <c r="J34" s="78"/>
      <c r="K34" s="95"/>
      <c r="L34" s="95">
        <f>N32*0.3125</f>
        <v>0</v>
      </c>
      <c r="M34" s="95">
        <f>10%*L34</f>
        <v>0</v>
      </c>
      <c r="N34" s="107">
        <f>L34+M34</f>
        <v>0</v>
      </c>
      <c r="O34" s="100" t="s">
        <v>17</v>
      </c>
      <c r="P34" s="78"/>
      <c r="Q34" s="78"/>
      <c r="R34" s="78"/>
      <c r="S34" s="78"/>
      <c r="T34" s="78"/>
      <c r="U34" s="78"/>
      <c r="V34" s="113">
        <v>0</v>
      </c>
      <c r="W34" s="78"/>
      <c r="X34" s="78"/>
      <c r="Y34" s="78"/>
      <c r="Z34" s="78"/>
      <c r="AA34" s="78"/>
      <c r="AB34" s="78"/>
      <c r="AC34" s="78"/>
      <c r="AD34" s="78"/>
    </row>
    <row r="35" spans="1:30" s="81" customFormat="1">
      <c r="A35" s="102"/>
      <c r="B35" s="118" t="s">
        <v>35</v>
      </c>
      <c r="C35" s="78"/>
      <c r="D35" s="95"/>
      <c r="E35" s="96"/>
      <c r="F35" s="95"/>
      <c r="G35" s="95"/>
      <c r="H35" s="78"/>
      <c r="I35" s="95"/>
      <c r="J35" s="78"/>
      <c r="K35" s="95"/>
      <c r="L35" s="95">
        <f t="shared" ref="L35" si="2">N34*8</f>
        <v>0</v>
      </c>
      <c r="M35" s="95">
        <f t="shared" ref="M35" si="3">10%*L35</f>
        <v>0</v>
      </c>
      <c r="N35" s="107">
        <f t="shared" ref="N35" si="4">L35+M35</f>
        <v>0</v>
      </c>
      <c r="O35" s="100" t="s">
        <v>17</v>
      </c>
      <c r="P35" s="78"/>
      <c r="Q35" s="78"/>
      <c r="R35" s="78"/>
      <c r="S35" s="78"/>
      <c r="T35" s="78"/>
      <c r="U35" s="78"/>
      <c r="V35" s="113">
        <v>0</v>
      </c>
      <c r="W35" s="78"/>
      <c r="X35" s="78"/>
      <c r="Y35" s="78"/>
      <c r="Z35" s="78"/>
      <c r="AA35" s="78"/>
      <c r="AB35" s="78"/>
      <c r="AC35" s="78"/>
      <c r="AD35" s="78"/>
    </row>
    <row r="36" spans="1:30">
      <c r="B36" s="118"/>
    </row>
    <row r="37" spans="1:30" s="125" customFormat="1">
      <c r="A37" s="119"/>
      <c r="B37" s="112" t="s">
        <v>36</v>
      </c>
      <c r="C37" s="120"/>
      <c r="D37" s="121"/>
      <c r="E37" s="122"/>
      <c r="F37" s="121"/>
      <c r="G37" s="121"/>
      <c r="H37" s="120"/>
      <c r="I37" s="121"/>
      <c r="J37" s="120"/>
      <c r="K37" s="121"/>
      <c r="L37" s="123"/>
      <c r="M37" s="97"/>
      <c r="N37" s="110"/>
      <c r="O37" s="124"/>
      <c r="V37" s="111">
        <f>SUM(V26:V36)</f>
        <v>0</v>
      </c>
    </row>
    <row r="38" spans="1:30">
      <c r="B38" s="118"/>
    </row>
    <row r="39" spans="1:30" s="81" customFormat="1">
      <c r="A39" s="98">
        <v>4</v>
      </c>
      <c r="B39" s="98" t="s">
        <v>102</v>
      </c>
      <c r="C39" s="78"/>
      <c r="D39" s="95"/>
      <c r="E39" s="96"/>
      <c r="F39" s="95"/>
      <c r="G39" s="95"/>
      <c r="H39" s="78"/>
      <c r="I39" s="95"/>
      <c r="J39" s="78"/>
      <c r="K39" s="95"/>
      <c r="L39" s="97"/>
      <c r="M39" s="95"/>
      <c r="N39" s="110"/>
      <c r="O39" s="100"/>
      <c r="P39" s="78"/>
      <c r="Q39" s="78"/>
      <c r="R39" s="78"/>
      <c r="S39" s="78"/>
      <c r="T39" s="78"/>
      <c r="U39" s="78"/>
      <c r="V39" s="101"/>
      <c r="W39" s="78"/>
      <c r="X39" s="78"/>
      <c r="Y39" s="78"/>
      <c r="Z39" s="78"/>
      <c r="AA39" s="78"/>
      <c r="AB39" s="78"/>
      <c r="AC39" s="78"/>
      <c r="AD39" s="78"/>
    </row>
    <row r="40" spans="1:30" s="125" customFormat="1">
      <c r="A40" s="102">
        <v>4.01</v>
      </c>
      <c r="B40" s="103" t="s">
        <v>40</v>
      </c>
      <c r="C40" s="78"/>
      <c r="D40" s="95"/>
      <c r="E40" s="96"/>
      <c r="F40" s="95"/>
      <c r="G40" s="114"/>
      <c r="H40" s="78"/>
      <c r="I40" s="95"/>
      <c r="J40" s="78"/>
      <c r="K40" s="95"/>
      <c r="L40" s="115">
        <f>G40</f>
        <v>0</v>
      </c>
      <c r="M40" s="97"/>
      <c r="N40" s="110">
        <f>L40</f>
        <v>0</v>
      </c>
      <c r="O40" s="104" t="s">
        <v>2</v>
      </c>
      <c r="P40" s="70"/>
      <c r="Q40" s="70"/>
      <c r="R40" s="70"/>
      <c r="S40" s="70"/>
      <c r="T40" s="70"/>
      <c r="U40" s="70"/>
      <c r="V40" s="111"/>
    </row>
    <row r="41" spans="1:30" s="120" customFormat="1">
      <c r="A41" s="102"/>
      <c r="B41" s="118" t="s">
        <v>37</v>
      </c>
      <c r="C41" s="69"/>
      <c r="D41" s="107"/>
      <c r="E41" s="108"/>
      <c r="F41" s="107"/>
      <c r="G41" s="107">
        <v>60</v>
      </c>
      <c r="H41" s="69"/>
      <c r="I41" s="107"/>
      <c r="J41" s="69"/>
      <c r="K41" s="107"/>
      <c r="L41" s="95">
        <f>G41/5.8</f>
        <v>10.344827586206897</v>
      </c>
      <c r="M41" s="95">
        <f>10%*L41</f>
        <v>1.0344827586206897</v>
      </c>
      <c r="N41" s="107">
        <f>L41+M41</f>
        <v>11.379310344827587</v>
      </c>
      <c r="O41" s="100" t="s">
        <v>23</v>
      </c>
      <c r="P41" s="69"/>
      <c r="Q41" s="69"/>
      <c r="R41" s="69"/>
      <c r="S41" s="69"/>
      <c r="T41" s="69"/>
      <c r="U41" s="70"/>
      <c r="V41" s="113">
        <v>0</v>
      </c>
    </row>
    <row r="42" spans="1:30" s="125" customFormat="1">
      <c r="A42" s="102">
        <v>4.0199999999999996</v>
      </c>
      <c r="B42" s="103" t="s">
        <v>45</v>
      </c>
      <c r="C42" s="78"/>
      <c r="D42" s="78"/>
      <c r="E42" s="78"/>
      <c r="F42" s="95"/>
      <c r="G42" s="95"/>
      <c r="H42" s="78"/>
      <c r="I42" s="114"/>
      <c r="J42" s="78"/>
      <c r="K42" s="95"/>
      <c r="L42" s="115">
        <f>I42</f>
        <v>0</v>
      </c>
      <c r="M42" s="97"/>
      <c r="N42" s="110">
        <f>L42</f>
        <v>0</v>
      </c>
      <c r="O42" s="104" t="s">
        <v>41</v>
      </c>
      <c r="V42" s="111"/>
    </row>
    <row r="43" spans="1:30" s="120" customFormat="1">
      <c r="A43" s="102"/>
      <c r="B43" s="118" t="s">
        <v>323</v>
      </c>
      <c r="C43" s="69"/>
      <c r="D43" s="107">
        <v>46</v>
      </c>
      <c r="E43" s="108"/>
      <c r="F43" s="107"/>
      <c r="G43" s="107"/>
      <c r="H43" s="69">
        <v>0.5</v>
      </c>
      <c r="I43" s="107">
        <f>D43*H43</f>
        <v>23</v>
      </c>
      <c r="J43" s="69"/>
      <c r="K43" s="107"/>
      <c r="L43" s="95">
        <f>I43/2.88</f>
        <v>7.9861111111111116</v>
      </c>
      <c r="M43" s="95">
        <f>10%*L43</f>
        <v>0.79861111111111116</v>
      </c>
      <c r="N43" s="107">
        <f>L43+M43</f>
        <v>8.7847222222222232</v>
      </c>
      <c r="O43" s="100" t="s">
        <v>51</v>
      </c>
      <c r="P43" s="70"/>
      <c r="Q43" s="70"/>
      <c r="R43" s="70"/>
      <c r="S43" s="69"/>
      <c r="T43" s="69"/>
      <c r="U43" s="70"/>
      <c r="V43" s="113">
        <v>0</v>
      </c>
    </row>
    <row r="44" spans="1:30" s="125" customFormat="1">
      <c r="A44" s="102">
        <v>4.03</v>
      </c>
      <c r="B44" s="103" t="s">
        <v>39</v>
      </c>
      <c r="C44" s="78"/>
      <c r="D44" s="95"/>
      <c r="E44" s="96"/>
      <c r="F44" s="95"/>
      <c r="G44" s="114"/>
      <c r="H44" s="78"/>
      <c r="I44" s="95"/>
      <c r="J44" s="78"/>
      <c r="K44" s="95"/>
      <c r="L44" s="115">
        <f>G44</f>
        <v>0</v>
      </c>
      <c r="M44" s="97"/>
      <c r="N44" s="110">
        <f>L44</f>
        <v>0</v>
      </c>
      <c r="O44" s="104" t="s">
        <v>2</v>
      </c>
      <c r="P44" s="70"/>
      <c r="Q44" s="70"/>
      <c r="R44" s="70"/>
      <c r="S44" s="69"/>
      <c r="T44" s="69"/>
      <c r="U44" s="70"/>
      <c r="V44" s="111"/>
    </row>
    <row r="45" spans="1:30" s="120" customFormat="1">
      <c r="A45" s="102"/>
      <c r="B45" s="118" t="s">
        <v>37</v>
      </c>
      <c r="C45" s="69"/>
      <c r="D45" s="107">
        <v>46</v>
      </c>
      <c r="E45" s="108">
        <v>2</v>
      </c>
      <c r="F45" s="107"/>
      <c r="G45" s="107">
        <f>D45*E45</f>
        <v>92</v>
      </c>
      <c r="H45" s="69">
        <v>62</v>
      </c>
      <c r="I45" s="107"/>
      <c r="J45" s="107">
        <f>G45+H45</f>
        <v>154</v>
      </c>
      <c r="K45" s="107"/>
      <c r="L45" s="95">
        <f>J45/5.8</f>
        <v>26.551724137931036</v>
      </c>
      <c r="M45" s="95">
        <f>10%*L45</f>
        <v>2.6551724137931036</v>
      </c>
      <c r="N45" s="107">
        <f>L45+M45</f>
        <v>29.206896551724139</v>
      </c>
      <c r="O45" s="100" t="s">
        <v>23</v>
      </c>
      <c r="P45" s="69"/>
      <c r="Q45" s="69"/>
      <c r="R45" s="69"/>
      <c r="S45" s="69"/>
      <c r="T45" s="69"/>
      <c r="U45" s="70"/>
      <c r="V45" s="113">
        <v>0</v>
      </c>
    </row>
    <row r="46" spans="1:30" s="120" customFormat="1">
      <c r="A46" s="102"/>
      <c r="B46" s="118" t="s">
        <v>38</v>
      </c>
      <c r="C46" s="69"/>
      <c r="D46" s="107">
        <v>46</v>
      </c>
      <c r="E46" s="108"/>
      <c r="F46" s="107"/>
      <c r="G46" s="107"/>
      <c r="H46" s="69"/>
      <c r="I46" s="107"/>
      <c r="J46" s="69"/>
      <c r="K46" s="107"/>
      <c r="L46" s="95">
        <f>D46/5.8</f>
        <v>7.931034482758621</v>
      </c>
      <c r="M46" s="95">
        <f>10%*L46</f>
        <v>0.7931034482758621</v>
      </c>
      <c r="N46" s="107">
        <f>L46+M46</f>
        <v>8.724137931034484</v>
      </c>
      <c r="O46" s="100" t="s">
        <v>23</v>
      </c>
      <c r="P46" s="69"/>
      <c r="Q46" s="69"/>
      <c r="R46" s="69"/>
      <c r="S46" s="69"/>
      <c r="T46" s="69"/>
      <c r="U46" s="69"/>
      <c r="V46" s="113">
        <v>0</v>
      </c>
    </row>
    <row r="47" spans="1:30" s="81" customFormat="1">
      <c r="A47" s="102">
        <v>4.04</v>
      </c>
      <c r="B47" s="103" t="s">
        <v>44</v>
      </c>
      <c r="C47" s="78"/>
      <c r="D47" s="95"/>
      <c r="E47" s="96"/>
      <c r="F47" s="95"/>
      <c r="G47" s="95"/>
      <c r="H47" s="78"/>
      <c r="I47" s="95"/>
      <c r="J47" s="78"/>
      <c r="K47" s="107"/>
      <c r="L47" s="97">
        <f>K47</f>
        <v>0</v>
      </c>
      <c r="M47" s="97"/>
      <c r="N47" s="110">
        <f>L47</f>
        <v>0</v>
      </c>
      <c r="O47" s="104" t="s">
        <v>17</v>
      </c>
      <c r="P47" s="78"/>
      <c r="Q47" s="78"/>
      <c r="R47" s="78"/>
      <c r="S47" s="78"/>
      <c r="T47" s="78"/>
      <c r="U47" s="78"/>
      <c r="V47" s="101"/>
      <c r="W47" s="78"/>
      <c r="X47" s="78"/>
      <c r="Y47" s="78"/>
      <c r="Z47" s="78"/>
      <c r="AA47" s="78"/>
      <c r="AB47" s="78"/>
      <c r="AC47" s="78"/>
      <c r="AD47" s="78"/>
    </row>
    <row r="48" spans="1:30" s="81" customFormat="1">
      <c r="A48" s="102"/>
      <c r="B48" s="118" t="s">
        <v>35</v>
      </c>
      <c r="C48" s="78"/>
      <c r="D48" s="95"/>
      <c r="E48" s="96"/>
      <c r="F48" s="95"/>
      <c r="G48" s="95"/>
      <c r="H48" s="78"/>
      <c r="I48" s="95"/>
      <c r="J48" s="78"/>
      <c r="K48" s="95"/>
      <c r="L48" s="95">
        <v>6</v>
      </c>
      <c r="M48" s="95">
        <f t="shared" ref="M48" si="5">10%*L48</f>
        <v>0.60000000000000009</v>
      </c>
      <c r="N48" s="107">
        <f t="shared" ref="N48:N53" si="6">L48+M48</f>
        <v>6.6</v>
      </c>
      <c r="O48" s="100" t="s">
        <v>17</v>
      </c>
      <c r="P48" s="78"/>
      <c r="Q48" s="78"/>
      <c r="R48" s="78"/>
      <c r="S48" s="78"/>
      <c r="T48" s="78"/>
      <c r="U48" s="78"/>
      <c r="V48" s="113">
        <v>0</v>
      </c>
      <c r="W48" s="78" t="s">
        <v>202</v>
      </c>
      <c r="X48" s="78"/>
      <c r="Y48" s="78"/>
      <c r="Z48" s="78"/>
      <c r="AA48" s="78"/>
      <c r="AB48" s="78"/>
      <c r="AC48" s="78"/>
      <c r="AD48" s="78"/>
    </row>
    <row r="49" spans="1:30" s="81" customFormat="1">
      <c r="A49" s="102"/>
      <c r="B49" s="118"/>
      <c r="C49" s="78"/>
      <c r="D49" s="95"/>
      <c r="E49" s="96"/>
      <c r="F49" s="95"/>
      <c r="G49" s="95"/>
      <c r="H49" s="78"/>
      <c r="I49" s="95"/>
      <c r="J49" s="78"/>
      <c r="K49" s="95"/>
      <c r="L49" s="95"/>
      <c r="M49" s="95"/>
      <c r="N49" s="107"/>
      <c r="O49" s="100"/>
      <c r="P49" s="78"/>
      <c r="Q49" s="78"/>
      <c r="R49" s="78"/>
      <c r="S49" s="78"/>
      <c r="T49" s="78"/>
      <c r="U49" s="78"/>
      <c r="V49" s="113"/>
      <c r="W49" s="78"/>
      <c r="X49" s="78"/>
      <c r="Y49" s="78"/>
      <c r="Z49" s="78"/>
      <c r="AA49" s="78"/>
      <c r="AB49" s="78"/>
      <c r="AC49" s="78"/>
      <c r="AD49" s="78"/>
    </row>
    <row r="50" spans="1:30" s="125" customFormat="1">
      <c r="A50" s="119"/>
      <c r="B50" s="112" t="s">
        <v>36</v>
      </c>
      <c r="C50" s="120"/>
      <c r="D50" s="121"/>
      <c r="E50" s="122"/>
      <c r="F50" s="121"/>
      <c r="G50" s="121"/>
      <c r="H50" s="120"/>
      <c r="I50" s="121"/>
      <c r="J50" s="120"/>
      <c r="K50" s="121"/>
      <c r="L50" s="123"/>
      <c r="M50" s="97"/>
      <c r="N50" s="110"/>
      <c r="O50" s="124"/>
      <c r="V50" s="111">
        <f>SUM(V39:V49)</f>
        <v>0</v>
      </c>
    </row>
    <row r="51" spans="1:30" s="81" customFormat="1">
      <c r="A51" s="102"/>
      <c r="B51" s="118"/>
      <c r="C51" s="78"/>
      <c r="D51" s="95"/>
      <c r="E51" s="96"/>
      <c r="F51" s="95"/>
      <c r="G51" s="95"/>
      <c r="H51" s="78"/>
      <c r="I51" s="95"/>
      <c r="J51" s="78"/>
      <c r="K51" s="95"/>
      <c r="L51" s="95"/>
      <c r="M51" s="95"/>
      <c r="N51" s="107"/>
      <c r="O51" s="100"/>
      <c r="P51" s="78"/>
      <c r="Q51" s="78"/>
      <c r="R51" s="78"/>
      <c r="S51" s="78"/>
      <c r="T51" s="78"/>
      <c r="U51" s="78"/>
      <c r="V51" s="113"/>
      <c r="W51" s="78"/>
      <c r="X51" s="78"/>
      <c r="Y51" s="78"/>
      <c r="Z51" s="78"/>
      <c r="AA51" s="78"/>
      <c r="AB51" s="78"/>
      <c r="AC51" s="78"/>
      <c r="AD51" s="78"/>
    </row>
    <row r="52" spans="1:30" s="81" customFormat="1">
      <c r="A52" s="98">
        <v>5</v>
      </c>
      <c r="B52" s="98" t="s">
        <v>120</v>
      </c>
      <c r="C52" s="78"/>
      <c r="D52" s="95"/>
      <c r="E52" s="96"/>
      <c r="F52" s="95"/>
      <c r="G52" s="95"/>
      <c r="H52" s="78"/>
      <c r="I52" s="95"/>
      <c r="J52" s="78"/>
      <c r="K52" s="95"/>
      <c r="L52" s="95"/>
      <c r="M52" s="95"/>
      <c r="N52" s="107"/>
      <c r="O52" s="100"/>
      <c r="P52" s="78"/>
      <c r="Q52" s="78"/>
      <c r="R52" s="78"/>
      <c r="S52" s="78"/>
      <c r="T52" s="78"/>
      <c r="U52" s="78"/>
      <c r="V52" s="113"/>
      <c r="W52" s="78"/>
      <c r="X52" s="78"/>
      <c r="Y52" s="78"/>
      <c r="Z52" s="78"/>
      <c r="AA52" s="78"/>
      <c r="AB52" s="78"/>
      <c r="AC52" s="78"/>
      <c r="AD52" s="78"/>
    </row>
    <row r="53" spans="1:30" s="81" customFormat="1">
      <c r="A53" s="102">
        <v>5.01</v>
      </c>
      <c r="B53" s="103" t="s">
        <v>91</v>
      </c>
      <c r="C53" s="78">
        <v>1</v>
      </c>
      <c r="D53" s="95">
        <v>42</v>
      </c>
      <c r="E53" s="96"/>
      <c r="F53" s="95"/>
      <c r="G53" s="95">
        <f>D53</f>
        <v>42</v>
      </c>
      <c r="H53" s="78">
        <v>0.5</v>
      </c>
      <c r="I53" s="95">
        <f>G53*H53</f>
        <v>21</v>
      </c>
      <c r="J53" s="78">
        <v>0.4</v>
      </c>
      <c r="K53" s="114">
        <f>I53*J53</f>
        <v>8.4</v>
      </c>
      <c r="L53" s="115">
        <f>K53</f>
        <v>8.4</v>
      </c>
      <c r="M53" s="97"/>
      <c r="N53" s="110">
        <f t="shared" si="6"/>
        <v>8.4</v>
      </c>
      <c r="O53" s="104" t="s">
        <v>17</v>
      </c>
      <c r="V53" s="127"/>
    </row>
    <row r="54" spans="1:30" s="81" customFormat="1">
      <c r="A54" s="102"/>
      <c r="B54" s="118" t="s">
        <v>33</v>
      </c>
      <c r="C54" s="78"/>
      <c r="D54" s="95"/>
      <c r="E54" s="96"/>
      <c r="F54" s="95"/>
      <c r="G54" s="95"/>
      <c r="H54" s="78"/>
      <c r="I54" s="95"/>
      <c r="J54" s="78"/>
      <c r="K54" s="95"/>
      <c r="L54" s="95">
        <f>N53*8</f>
        <v>67.2</v>
      </c>
      <c r="M54" s="95">
        <f>10%*L54</f>
        <v>6.7200000000000006</v>
      </c>
      <c r="N54" s="107">
        <f>L54+M54</f>
        <v>73.92</v>
      </c>
      <c r="O54" s="100" t="s">
        <v>5</v>
      </c>
      <c r="P54" s="78"/>
      <c r="Q54" s="78"/>
      <c r="R54" s="78"/>
      <c r="S54" s="78"/>
      <c r="T54" s="78"/>
      <c r="U54" s="78"/>
      <c r="V54" s="113">
        <v>0</v>
      </c>
      <c r="W54" s="78"/>
      <c r="X54" s="78"/>
      <c r="Y54" s="78"/>
      <c r="Z54" s="78"/>
      <c r="AA54" s="78"/>
      <c r="AB54" s="78"/>
      <c r="AC54" s="78"/>
      <c r="AD54" s="78"/>
    </row>
    <row r="55" spans="1:30">
      <c r="A55" s="102"/>
      <c r="B55" s="118" t="s">
        <v>34</v>
      </c>
      <c r="L55" s="95">
        <f>N53*0.3502</f>
        <v>2.9416800000000003</v>
      </c>
      <c r="M55" s="95">
        <f t="shared" ref="M55:M56" si="7">10%*L55</f>
        <v>0.29416800000000004</v>
      </c>
      <c r="N55" s="107">
        <f t="shared" ref="N55:N57" si="8">L55+M55</f>
        <v>3.2358480000000003</v>
      </c>
      <c r="O55" s="100" t="s">
        <v>17</v>
      </c>
      <c r="V55" s="113">
        <v>0</v>
      </c>
    </row>
    <row r="56" spans="1:30">
      <c r="A56" s="126"/>
      <c r="B56" s="118" t="s">
        <v>35</v>
      </c>
      <c r="L56" s="95">
        <f>N53*0.3125</f>
        <v>2.625</v>
      </c>
      <c r="M56" s="95">
        <f t="shared" si="7"/>
        <v>0.26250000000000001</v>
      </c>
      <c r="N56" s="107">
        <f t="shared" si="8"/>
        <v>2.8875000000000002</v>
      </c>
      <c r="O56" s="100" t="s">
        <v>17</v>
      </c>
      <c r="V56" s="113">
        <v>0</v>
      </c>
    </row>
    <row r="57" spans="1:30">
      <c r="A57" s="102">
        <v>5.0199999999999996</v>
      </c>
      <c r="B57" s="103" t="s">
        <v>92</v>
      </c>
      <c r="C57" s="78">
        <v>1</v>
      </c>
      <c r="D57" s="95">
        <v>29</v>
      </c>
      <c r="E57" s="96"/>
      <c r="F57" s="95"/>
      <c r="G57" s="95">
        <f>D57</f>
        <v>29</v>
      </c>
      <c r="H57" s="78">
        <v>0.3</v>
      </c>
      <c r="I57" s="95">
        <f>G57*H57</f>
        <v>8.6999999999999993</v>
      </c>
      <c r="J57" s="78">
        <v>0.4</v>
      </c>
      <c r="K57" s="114">
        <f>I57*J57</f>
        <v>3.48</v>
      </c>
      <c r="L57" s="115">
        <f>K57</f>
        <v>3.48</v>
      </c>
      <c r="M57" s="97"/>
      <c r="N57" s="110">
        <f t="shared" si="8"/>
        <v>3.48</v>
      </c>
      <c r="O57" s="104" t="s">
        <v>17</v>
      </c>
    </row>
    <row r="58" spans="1:30">
      <c r="A58" s="102"/>
      <c r="B58" s="118" t="s">
        <v>33</v>
      </c>
      <c r="C58" s="78"/>
      <c r="D58" s="95"/>
      <c r="E58" s="96"/>
      <c r="F58" s="95"/>
      <c r="G58" s="95"/>
      <c r="H58" s="78"/>
      <c r="I58" s="95"/>
      <c r="J58" s="78"/>
      <c r="K58" s="95"/>
      <c r="L58" s="95">
        <f>N57*8</f>
        <v>27.84</v>
      </c>
      <c r="M58" s="95">
        <f>10%*L58</f>
        <v>2.7840000000000003</v>
      </c>
      <c r="N58" s="107">
        <f>L58+M58</f>
        <v>30.623999999999999</v>
      </c>
      <c r="O58" s="100" t="s">
        <v>5</v>
      </c>
      <c r="V58" s="113">
        <v>0</v>
      </c>
    </row>
    <row r="59" spans="1:30">
      <c r="A59" s="102"/>
      <c r="B59" s="118" t="s">
        <v>34</v>
      </c>
      <c r="L59" s="95">
        <f>N58*0.3502</f>
        <v>10.724524799999999</v>
      </c>
      <c r="M59" s="95">
        <f t="shared" ref="M59:M60" si="9">10%*L59</f>
        <v>1.0724524799999999</v>
      </c>
      <c r="N59" s="107">
        <f t="shared" ref="N59:N65" si="10">L59+M59</f>
        <v>11.79697728</v>
      </c>
      <c r="O59" s="100" t="s">
        <v>17</v>
      </c>
      <c r="V59" s="113">
        <v>0</v>
      </c>
    </row>
    <row r="60" spans="1:30">
      <c r="A60" s="126"/>
      <c r="B60" s="118" t="s">
        <v>35</v>
      </c>
      <c r="L60" s="95">
        <f>N59*0.3125</f>
        <v>3.6865554</v>
      </c>
      <c r="M60" s="95">
        <f t="shared" si="9"/>
        <v>0.36865554</v>
      </c>
      <c r="N60" s="107">
        <f t="shared" si="10"/>
        <v>4.0552109400000003</v>
      </c>
      <c r="O60" s="100" t="s">
        <v>17</v>
      </c>
      <c r="V60" s="113">
        <v>0</v>
      </c>
    </row>
    <row r="61" spans="1:30">
      <c r="A61" s="102">
        <v>5.03</v>
      </c>
      <c r="B61" s="103" t="s">
        <v>105</v>
      </c>
      <c r="C61" s="78">
        <v>1</v>
      </c>
      <c r="D61" s="95"/>
      <c r="E61" s="96"/>
      <c r="F61" s="95"/>
      <c r="G61" s="95">
        <v>14</v>
      </c>
      <c r="H61" s="78">
        <v>8</v>
      </c>
      <c r="I61" s="95">
        <f>G61*H61</f>
        <v>112</v>
      </c>
      <c r="J61" s="78">
        <v>0.1</v>
      </c>
      <c r="K61" s="114">
        <f>I61*J61</f>
        <v>11.200000000000001</v>
      </c>
      <c r="L61" s="115">
        <f>K61</f>
        <v>11.200000000000001</v>
      </c>
      <c r="M61" s="97"/>
      <c r="N61" s="110">
        <f t="shared" si="10"/>
        <v>11.200000000000001</v>
      </c>
      <c r="O61" s="104" t="s">
        <v>17</v>
      </c>
    </row>
    <row r="62" spans="1:30">
      <c r="A62" s="102"/>
      <c r="B62" s="118" t="s">
        <v>33</v>
      </c>
      <c r="C62" s="78"/>
      <c r="D62" s="95"/>
      <c r="E62" s="96"/>
      <c r="F62" s="95"/>
      <c r="G62" s="95"/>
      <c r="H62" s="78"/>
      <c r="I62" s="95"/>
      <c r="J62" s="78"/>
      <c r="K62" s="95"/>
      <c r="L62" s="95">
        <f>N61*8</f>
        <v>89.600000000000009</v>
      </c>
      <c r="M62" s="95">
        <f>10%*L62</f>
        <v>8.9600000000000009</v>
      </c>
      <c r="N62" s="107">
        <f>L62+M62</f>
        <v>98.56</v>
      </c>
      <c r="O62" s="100" t="s">
        <v>5</v>
      </c>
      <c r="V62" s="113">
        <v>0</v>
      </c>
    </row>
    <row r="63" spans="1:30">
      <c r="A63" s="102"/>
      <c r="B63" s="118" t="s">
        <v>34</v>
      </c>
      <c r="L63" s="95">
        <f>N61*0.3502</f>
        <v>3.9222400000000004</v>
      </c>
      <c r="M63" s="95">
        <f t="shared" ref="M63:M64" si="11">10%*L63</f>
        <v>0.39222400000000007</v>
      </c>
      <c r="N63" s="107">
        <f t="shared" ref="N63:N64" si="12">L63+M63</f>
        <v>4.3144640000000001</v>
      </c>
      <c r="O63" s="100" t="s">
        <v>17</v>
      </c>
      <c r="V63" s="113">
        <v>0</v>
      </c>
    </row>
    <row r="64" spans="1:30">
      <c r="A64" s="102"/>
      <c r="B64" s="118" t="s">
        <v>35</v>
      </c>
      <c r="L64" s="95">
        <f>N61*0.3125</f>
        <v>3.5000000000000004</v>
      </c>
      <c r="M64" s="95">
        <f t="shared" si="11"/>
        <v>0.35000000000000009</v>
      </c>
      <c r="N64" s="107">
        <f t="shared" si="12"/>
        <v>3.8500000000000005</v>
      </c>
      <c r="O64" s="100" t="s">
        <v>17</v>
      </c>
      <c r="V64" s="113">
        <v>0</v>
      </c>
    </row>
    <row r="65" spans="1:22" s="70" customFormat="1">
      <c r="A65" s="102">
        <v>5.04</v>
      </c>
      <c r="B65" s="70" t="s">
        <v>307</v>
      </c>
      <c r="C65" s="78">
        <v>1</v>
      </c>
      <c r="D65" s="95">
        <v>37</v>
      </c>
      <c r="E65" s="96"/>
      <c r="F65" s="95"/>
      <c r="G65" s="95">
        <f>D65</f>
        <v>37</v>
      </c>
      <c r="H65" s="78">
        <v>0.1</v>
      </c>
      <c r="I65" s="95">
        <f>G65*H65</f>
        <v>3.7</v>
      </c>
      <c r="J65" s="78">
        <v>3.2</v>
      </c>
      <c r="K65" s="114">
        <f>I65*J65</f>
        <v>11.840000000000002</v>
      </c>
      <c r="L65" s="115">
        <f>K65</f>
        <v>11.840000000000002</v>
      </c>
      <c r="M65" s="97"/>
      <c r="N65" s="110">
        <f t="shared" si="10"/>
        <v>11.840000000000002</v>
      </c>
      <c r="O65" s="104" t="s">
        <v>17</v>
      </c>
      <c r="V65" s="111"/>
    </row>
    <row r="66" spans="1:22">
      <c r="A66" s="102"/>
      <c r="B66" s="118" t="s">
        <v>33</v>
      </c>
      <c r="L66" s="95">
        <f>N65*8</f>
        <v>94.720000000000013</v>
      </c>
      <c r="M66" s="95">
        <f>10%*L66</f>
        <v>9.4720000000000013</v>
      </c>
      <c r="N66" s="107">
        <f>L66+M66</f>
        <v>104.19200000000001</v>
      </c>
      <c r="O66" s="100" t="s">
        <v>5</v>
      </c>
      <c r="V66" s="113">
        <v>0</v>
      </c>
    </row>
    <row r="67" spans="1:22">
      <c r="A67" s="102"/>
      <c r="B67" s="118" t="s">
        <v>34</v>
      </c>
      <c r="L67" s="95">
        <f>N65*0.3502</f>
        <v>4.1463680000000007</v>
      </c>
      <c r="M67" s="95">
        <f t="shared" ref="M67:M68" si="13">10%*L67</f>
        <v>0.41463680000000008</v>
      </c>
      <c r="N67" s="107">
        <f t="shared" ref="N67:N69" si="14">L67+M67</f>
        <v>4.561004800000001</v>
      </c>
      <c r="O67" s="100" t="s">
        <v>17</v>
      </c>
      <c r="V67" s="113">
        <v>0</v>
      </c>
    </row>
    <row r="68" spans="1:22">
      <c r="A68" s="126"/>
      <c r="B68" s="118" t="s">
        <v>35</v>
      </c>
      <c r="L68" s="95">
        <f>N65*0.3125</f>
        <v>3.7000000000000006</v>
      </c>
      <c r="M68" s="95">
        <f t="shared" si="13"/>
        <v>0.37000000000000011</v>
      </c>
      <c r="N68" s="107">
        <f t="shared" si="14"/>
        <v>4.07</v>
      </c>
      <c r="O68" s="100" t="s">
        <v>17</v>
      </c>
      <c r="V68" s="113">
        <v>0</v>
      </c>
    </row>
    <row r="69" spans="1:22">
      <c r="A69" s="102">
        <v>5.05</v>
      </c>
      <c r="B69" s="103" t="s">
        <v>308</v>
      </c>
      <c r="D69" s="107">
        <v>29</v>
      </c>
      <c r="G69" s="107">
        <f>D69</f>
        <v>29</v>
      </c>
      <c r="H69" s="69">
        <v>0.1</v>
      </c>
      <c r="I69" s="107">
        <f>G69*H69</f>
        <v>2.9000000000000004</v>
      </c>
      <c r="J69" s="69">
        <v>3.2</v>
      </c>
      <c r="K69" s="114">
        <f>I69*J69</f>
        <v>9.2800000000000011</v>
      </c>
      <c r="L69" s="115">
        <f>K69</f>
        <v>9.2800000000000011</v>
      </c>
      <c r="M69" s="97"/>
      <c r="N69" s="110">
        <f t="shared" si="14"/>
        <v>9.2800000000000011</v>
      </c>
      <c r="O69" s="104" t="s">
        <v>17</v>
      </c>
    </row>
    <row r="70" spans="1:22">
      <c r="A70" s="102"/>
      <c r="B70" s="118" t="s">
        <v>33</v>
      </c>
      <c r="C70" s="95"/>
      <c r="D70" s="81"/>
      <c r="E70" s="96"/>
      <c r="F70" s="95"/>
      <c r="G70" s="95"/>
      <c r="H70" s="78"/>
      <c r="I70" s="95"/>
      <c r="J70" s="78"/>
      <c r="K70" s="95"/>
      <c r="L70" s="95">
        <f>N69*8</f>
        <v>74.240000000000009</v>
      </c>
      <c r="M70" s="95">
        <f>10%*L70</f>
        <v>7.4240000000000013</v>
      </c>
      <c r="N70" s="107">
        <f>L70+M70</f>
        <v>81.664000000000016</v>
      </c>
      <c r="O70" s="100" t="s">
        <v>5</v>
      </c>
    </row>
    <row r="71" spans="1:22">
      <c r="A71" s="102"/>
      <c r="B71" s="118" t="s">
        <v>34</v>
      </c>
      <c r="C71" s="78"/>
      <c r="D71" s="95"/>
      <c r="E71" s="96"/>
      <c r="F71" s="95"/>
      <c r="G71" s="95"/>
      <c r="H71" s="78"/>
      <c r="I71" s="95"/>
      <c r="J71" s="78"/>
      <c r="K71" s="95"/>
      <c r="L71" s="95">
        <f>N69*0.3502</f>
        <v>3.2498560000000003</v>
      </c>
      <c r="M71" s="95">
        <f>10%*L71</f>
        <v>0.32498560000000004</v>
      </c>
      <c r="N71" s="107">
        <f>L71+M71</f>
        <v>3.5748416000000005</v>
      </c>
      <c r="O71" s="100" t="s">
        <v>17</v>
      </c>
    </row>
    <row r="72" spans="1:22">
      <c r="A72" s="102"/>
      <c r="B72" s="118" t="s">
        <v>35</v>
      </c>
      <c r="C72" s="78"/>
      <c r="D72" s="95"/>
      <c r="E72" s="96"/>
      <c r="F72" s="95"/>
      <c r="G72" s="95"/>
      <c r="H72" s="78"/>
      <c r="I72" s="95"/>
      <c r="J72" s="78"/>
      <c r="K72" s="95"/>
      <c r="L72" s="95">
        <f>N69*0.3125</f>
        <v>2.9000000000000004</v>
      </c>
      <c r="M72" s="95">
        <f t="shared" ref="M72" si="15">10%*L72</f>
        <v>0.29000000000000004</v>
      </c>
      <c r="N72" s="107">
        <f t="shared" ref="N72" si="16">L72+M72</f>
        <v>3.1900000000000004</v>
      </c>
      <c r="O72" s="100" t="s">
        <v>17</v>
      </c>
    </row>
    <row r="73" spans="1:22">
      <c r="A73" s="102">
        <v>5.0599999999999996</v>
      </c>
      <c r="B73" s="70" t="s">
        <v>106</v>
      </c>
      <c r="C73" s="78"/>
      <c r="D73" s="95">
        <v>423</v>
      </c>
      <c r="E73" s="96"/>
      <c r="F73" s="95"/>
      <c r="G73" s="95">
        <f>D73</f>
        <v>423</v>
      </c>
      <c r="H73" s="78">
        <v>5.0000000000000001E-3</v>
      </c>
      <c r="I73" s="95">
        <f>G73*H73</f>
        <v>2.1150000000000002</v>
      </c>
      <c r="J73" s="78"/>
      <c r="K73" s="114">
        <f>I73</f>
        <v>2.1150000000000002</v>
      </c>
      <c r="L73" s="115">
        <f>K73</f>
        <v>2.1150000000000002</v>
      </c>
      <c r="M73" s="97"/>
      <c r="N73" s="110">
        <f t="shared" ref="N73" si="17">L73+M73</f>
        <v>2.1150000000000002</v>
      </c>
      <c r="O73" s="104" t="s">
        <v>41</v>
      </c>
    </row>
    <row r="74" spans="1:22">
      <c r="B74" s="118" t="s">
        <v>33</v>
      </c>
      <c r="L74" s="95">
        <f>N73*8</f>
        <v>16.920000000000002</v>
      </c>
      <c r="M74" s="95">
        <f>10%*L74</f>
        <v>1.6920000000000002</v>
      </c>
      <c r="N74" s="107">
        <f>L74+M74</f>
        <v>18.612000000000002</v>
      </c>
      <c r="O74" s="100" t="s">
        <v>5</v>
      </c>
    </row>
    <row r="75" spans="1:22">
      <c r="A75" s="128"/>
      <c r="B75" s="118" t="s">
        <v>35</v>
      </c>
      <c r="L75" s="95">
        <f>N73*0.3125</f>
        <v>0.66093750000000007</v>
      </c>
      <c r="M75" s="95">
        <f>10%*L75</f>
        <v>6.6093750000000007E-2</v>
      </c>
      <c r="N75" s="107">
        <f t="shared" ref="N75" si="18">L75+M75</f>
        <v>0.72703125000000002</v>
      </c>
      <c r="O75" s="100" t="s">
        <v>17</v>
      </c>
    </row>
    <row r="76" spans="1:22" s="120" customFormat="1">
      <c r="A76" s="102">
        <v>5.07</v>
      </c>
      <c r="B76" s="104" t="s">
        <v>67</v>
      </c>
      <c r="C76" s="95"/>
      <c r="D76" s="107"/>
      <c r="E76" s="108"/>
      <c r="F76" s="107"/>
      <c r="G76" s="107"/>
      <c r="H76" s="69"/>
      <c r="I76" s="107"/>
      <c r="J76" s="69"/>
      <c r="K76" s="107"/>
      <c r="L76" s="97"/>
      <c r="M76" s="97"/>
      <c r="N76" s="110"/>
      <c r="O76" s="104"/>
      <c r="P76" s="70"/>
      <c r="Q76" s="70"/>
      <c r="R76" s="70"/>
      <c r="S76" s="70"/>
      <c r="T76" s="70"/>
      <c r="U76" s="70"/>
      <c r="V76" s="111"/>
    </row>
    <row r="77" spans="1:22" s="120" customFormat="1">
      <c r="A77" s="106"/>
      <c r="B77" s="118" t="s">
        <v>121</v>
      </c>
      <c r="C77" s="69"/>
      <c r="D77" s="107"/>
      <c r="E77" s="108"/>
      <c r="F77" s="107"/>
      <c r="G77" s="107"/>
      <c r="H77" s="69"/>
      <c r="I77" s="107"/>
      <c r="J77" s="69"/>
      <c r="K77" s="107"/>
      <c r="L77" s="95">
        <v>6</v>
      </c>
      <c r="M77" s="95"/>
      <c r="N77" s="107">
        <f>L77</f>
        <v>6</v>
      </c>
      <c r="O77" s="100" t="s">
        <v>8</v>
      </c>
      <c r="P77" s="69"/>
      <c r="Q77" s="69"/>
      <c r="R77" s="69"/>
      <c r="S77" s="69"/>
      <c r="T77" s="69"/>
      <c r="U77" s="69"/>
      <c r="V77" s="113">
        <v>0</v>
      </c>
    </row>
    <row r="78" spans="1:22" s="120" customFormat="1">
      <c r="A78" s="106"/>
      <c r="B78" s="118" t="s">
        <v>203</v>
      </c>
      <c r="C78" s="69"/>
      <c r="D78" s="107"/>
      <c r="E78" s="108"/>
      <c r="F78" s="107"/>
      <c r="G78" s="107"/>
      <c r="H78" s="69"/>
      <c r="I78" s="107"/>
      <c r="J78" s="69"/>
      <c r="K78" s="107"/>
      <c r="L78" s="129">
        <v>6</v>
      </c>
      <c r="M78" s="95"/>
      <c r="N78" s="107">
        <f>L78</f>
        <v>6</v>
      </c>
      <c r="O78" s="100" t="s">
        <v>8</v>
      </c>
      <c r="P78" s="69"/>
      <c r="Q78" s="69"/>
      <c r="R78" s="69"/>
      <c r="S78" s="69"/>
      <c r="T78" s="69"/>
      <c r="U78" s="69"/>
      <c r="V78" s="113"/>
    </row>
    <row r="79" spans="1:22" s="120" customFormat="1">
      <c r="A79" s="102">
        <v>5.08</v>
      </c>
      <c r="B79" s="104" t="s">
        <v>313</v>
      </c>
      <c r="C79" s="69">
        <v>2</v>
      </c>
      <c r="D79" s="107">
        <v>2.2000000000000002</v>
      </c>
      <c r="E79" s="108"/>
      <c r="F79" s="107"/>
      <c r="G79" s="107">
        <f>C79*D79</f>
        <v>4.4000000000000004</v>
      </c>
      <c r="H79" s="69">
        <v>2.2000000000000002</v>
      </c>
      <c r="I79" s="107">
        <f>G79*H79</f>
        <v>9.6800000000000015</v>
      </c>
      <c r="J79" s="69">
        <v>0.15</v>
      </c>
      <c r="K79" s="107"/>
      <c r="L79" s="95">
        <f>I79*J79</f>
        <v>1.4520000000000002</v>
      </c>
      <c r="M79" s="95">
        <f>L79*10%</f>
        <v>0.14520000000000002</v>
      </c>
      <c r="N79" s="107">
        <f>L79+M79</f>
        <v>1.5972000000000002</v>
      </c>
      <c r="O79" s="100" t="s">
        <v>17</v>
      </c>
      <c r="P79" s="69"/>
      <c r="Q79" s="69"/>
      <c r="R79" s="69"/>
      <c r="S79" s="69"/>
      <c r="T79" s="69"/>
      <c r="U79" s="69"/>
      <c r="V79" s="113"/>
    </row>
    <row r="80" spans="1:22" s="120" customFormat="1">
      <c r="A80" s="106"/>
      <c r="B80" s="118" t="s">
        <v>33</v>
      </c>
      <c r="C80" s="69"/>
      <c r="D80" s="107"/>
      <c r="E80" s="108"/>
      <c r="F80" s="107"/>
      <c r="G80" s="107"/>
      <c r="H80" s="69"/>
      <c r="I80" s="107"/>
      <c r="J80" s="69"/>
      <c r="K80" s="107"/>
      <c r="L80" s="95">
        <f>N79*10</f>
        <v>15.972000000000001</v>
      </c>
      <c r="M80" s="95">
        <f>L80*10%</f>
        <v>1.5972000000000002</v>
      </c>
      <c r="N80" s="107">
        <f>L80+M80</f>
        <v>17.569200000000002</v>
      </c>
      <c r="O80" s="100" t="s">
        <v>5</v>
      </c>
      <c r="P80" s="69"/>
      <c r="Q80" s="69"/>
      <c r="R80" s="69"/>
      <c r="S80" s="69"/>
      <c r="T80" s="69"/>
      <c r="U80" s="69"/>
      <c r="V80" s="113"/>
    </row>
    <row r="81" spans="1:30" s="120" customFormat="1">
      <c r="A81" s="106"/>
      <c r="B81" s="118" t="s">
        <v>34</v>
      </c>
      <c r="C81" s="69"/>
      <c r="D81" s="107"/>
      <c r="E81" s="108"/>
      <c r="F81" s="107"/>
      <c r="G81" s="107"/>
      <c r="H81" s="69"/>
      <c r="I81" s="107"/>
      <c r="J81" s="69"/>
      <c r="K81" s="107"/>
      <c r="L81" s="95">
        <f>N79*0.3502</f>
        <v>0.55933944000000013</v>
      </c>
      <c r="M81" s="95">
        <f>L81*10%</f>
        <v>5.5933944000000013E-2</v>
      </c>
      <c r="N81" s="107">
        <f>L81+M81</f>
        <v>0.6152733840000002</v>
      </c>
      <c r="O81" s="100" t="s">
        <v>17</v>
      </c>
      <c r="P81" s="69"/>
      <c r="Q81" s="69"/>
      <c r="R81" s="69"/>
      <c r="S81" s="69"/>
      <c r="T81" s="69"/>
      <c r="U81" s="69"/>
      <c r="V81" s="113"/>
    </row>
    <row r="82" spans="1:30" s="120" customFormat="1">
      <c r="A82" s="106"/>
      <c r="B82" s="118" t="s">
        <v>35</v>
      </c>
      <c r="C82" s="69"/>
      <c r="D82" s="107"/>
      <c r="E82" s="108"/>
      <c r="F82" s="107"/>
      <c r="G82" s="107"/>
      <c r="H82" s="69"/>
      <c r="I82" s="107"/>
      <c r="J82" s="69"/>
      <c r="K82" s="107"/>
      <c r="L82" s="95">
        <f>N79*0.3125</f>
        <v>0.49912500000000004</v>
      </c>
      <c r="M82" s="95">
        <f>L82*10%</f>
        <v>4.9912500000000005E-2</v>
      </c>
      <c r="N82" s="107">
        <f>L82+M82</f>
        <v>0.54903750000000007</v>
      </c>
      <c r="O82" s="100" t="s">
        <v>17</v>
      </c>
      <c r="P82" s="69"/>
      <c r="Q82" s="69"/>
      <c r="R82" s="69"/>
      <c r="S82" s="69"/>
      <c r="T82" s="69"/>
      <c r="U82" s="69"/>
      <c r="V82" s="113"/>
    </row>
    <row r="83" spans="1:30" s="120" customFormat="1">
      <c r="A83" s="106"/>
      <c r="B83" s="118"/>
      <c r="C83" s="69"/>
      <c r="D83" s="107"/>
      <c r="E83" s="108"/>
      <c r="F83" s="107"/>
      <c r="G83" s="107"/>
      <c r="H83" s="69"/>
      <c r="I83" s="107"/>
      <c r="J83" s="69"/>
      <c r="K83" s="107"/>
      <c r="L83" s="95"/>
      <c r="M83" s="95"/>
      <c r="N83" s="107"/>
      <c r="O83" s="100"/>
      <c r="P83" s="69"/>
      <c r="Q83" s="69"/>
      <c r="R83" s="69"/>
      <c r="S83" s="69"/>
      <c r="T83" s="69"/>
      <c r="U83" s="69"/>
      <c r="V83" s="113"/>
    </row>
    <row r="84" spans="1:30" s="81" customFormat="1">
      <c r="A84" s="98">
        <v>6</v>
      </c>
      <c r="B84" s="98" t="s">
        <v>103</v>
      </c>
      <c r="C84" s="78"/>
      <c r="D84" s="95"/>
      <c r="E84" s="96"/>
      <c r="F84" s="95"/>
      <c r="G84" s="95"/>
      <c r="H84" s="78"/>
      <c r="I84" s="95"/>
      <c r="J84" s="78"/>
      <c r="K84" s="95"/>
      <c r="L84" s="95"/>
      <c r="M84" s="95"/>
      <c r="N84" s="107"/>
      <c r="O84" s="100"/>
      <c r="P84" s="78"/>
      <c r="Q84" s="78"/>
      <c r="R84" s="78"/>
      <c r="S84" s="78"/>
      <c r="T84" s="78"/>
      <c r="U84" s="78"/>
      <c r="V84" s="101"/>
      <c r="W84" s="78"/>
      <c r="X84" s="78"/>
      <c r="Y84" s="78"/>
      <c r="Z84" s="78"/>
      <c r="AA84" s="78"/>
      <c r="AB84" s="78"/>
      <c r="AC84" s="78"/>
      <c r="AD84" s="78"/>
    </row>
    <row r="85" spans="1:30" s="81" customFormat="1">
      <c r="A85" s="102">
        <v>6.01</v>
      </c>
      <c r="B85" s="104" t="s">
        <v>93</v>
      </c>
      <c r="C85" s="78">
        <v>4</v>
      </c>
      <c r="D85" s="95">
        <v>42</v>
      </c>
      <c r="E85" s="96"/>
      <c r="F85" s="95"/>
      <c r="G85" s="129">
        <f>C85*D85</f>
        <v>168</v>
      </c>
      <c r="H85" s="78"/>
      <c r="I85" s="95"/>
      <c r="J85" s="78"/>
      <c r="K85" s="95"/>
      <c r="L85" s="129">
        <f>G85*C85</f>
        <v>672</v>
      </c>
      <c r="M85" s="95"/>
      <c r="N85" s="107">
        <f>L85</f>
        <v>672</v>
      </c>
      <c r="O85" s="100" t="s">
        <v>2</v>
      </c>
      <c r="P85" s="78"/>
      <c r="Q85" s="78"/>
      <c r="R85" s="78"/>
      <c r="S85" s="78"/>
      <c r="T85" s="78"/>
      <c r="U85" s="78"/>
      <c r="V85" s="101"/>
      <c r="W85" s="78"/>
      <c r="X85" s="78"/>
      <c r="Y85" s="78"/>
      <c r="Z85" s="78"/>
      <c r="AA85" s="78"/>
      <c r="AB85" s="78"/>
      <c r="AC85" s="78"/>
      <c r="AD85" s="78"/>
    </row>
    <row r="86" spans="1:30" s="81" customFormat="1">
      <c r="A86" s="102"/>
      <c r="B86" s="118" t="s">
        <v>73</v>
      </c>
      <c r="C86" s="78"/>
      <c r="D86" s="95"/>
      <c r="E86" s="96"/>
      <c r="F86" s="95"/>
      <c r="G86" s="95"/>
      <c r="H86" s="78"/>
      <c r="I86" s="95"/>
      <c r="J86" s="78"/>
      <c r="K86" s="95"/>
      <c r="L86" s="95">
        <f>N85/5.8</f>
        <v>115.86206896551724</v>
      </c>
      <c r="M86" s="95">
        <f>L86*10%</f>
        <v>11.586206896551724</v>
      </c>
      <c r="N86" s="130">
        <f>L86+M86</f>
        <v>127.44827586206897</v>
      </c>
      <c r="O86" s="131" t="s">
        <v>23</v>
      </c>
      <c r="P86" s="78"/>
      <c r="Q86" s="78"/>
      <c r="R86" s="78"/>
      <c r="S86" s="78"/>
      <c r="T86" s="78"/>
      <c r="U86" s="78"/>
      <c r="V86" s="101"/>
      <c r="W86" s="78"/>
      <c r="X86" s="78"/>
      <c r="Y86" s="78"/>
      <c r="Z86" s="78"/>
      <c r="AA86" s="78"/>
      <c r="AB86" s="78"/>
      <c r="AC86" s="78"/>
      <c r="AD86" s="78"/>
    </row>
    <row r="87" spans="1:30" s="81" customFormat="1">
      <c r="A87" s="126"/>
      <c r="B87" s="104"/>
      <c r="C87" s="78"/>
      <c r="D87" s="95"/>
      <c r="E87" s="96"/>
      <c r="F87" s="95"/>
      <c r="G87" s="95"/>
      <c r="H87" s="78"/>
      <c r="I87" s="95"/>
      <c r="J87" s="78"/>
      <c r="K87" s="95"/>
      <c r="L87" s="95"/>
      <c r="M87" s="95"/>
      <c r="N87" s="107"/>
      <c r="O87" s="100"/>
      <c r="P87" s="78"/>
      <c r="Q87" s="78"/>
      <c r="R87" s="78"/>
      <c r="S87" s="78"/>
      <c r="T87" s="78"/>
      <c r="U87" s="78"/>
      <c r="V87" s="101"/>
      <c r="W87" s="78"/>
      <c r="X87" s="78"/>
      <c r="Y87" s="78"/>
      <c r="Z87" s="78"/>
      <c r="AA87" s="78"/>
      <c r="AB87" s="78"/>
      <c r="AC87" s="78"/>
      <c r="AD87" s="78"/>
    </row>
    <row r="88" spans="1:30" s="81" customFormat="1">
      <c r="A88" s="102">
        <v>6.02</v>
      </c>
      <c r="B88" s="104" t="s">
        <v>94</v>
      </c>
      <c r="C88" s="78">
        <v>4</v>
      </c>
      <c r="D88" s="95">
        <v>32</v>
      </c>
      <c r="E88" s="96"/>
      <c r="F88" s="95"/>
      <c r="G88" s="129">
        <f>C88*D88</f>
        <v>128</v>
      </c>
      <c r="H88" s="78"/>
      <c r="I88" s="95"/>
      <c r="J88" s="78"/>
      <c r="K88" s="95"/>
      <c r="L88" s="129">
        <f>G88</f>
        <v>128</v>
      </c>
      <c r="M88" s="95"/>
      <c r="N88" s="107">
        <f>L88</f>
        <v>128</v>
      </c>
      <c r="O88" s="100" t="s">
        <v>2</v>
      </c>
      <c r="P88" s="78"/>
      <c r="Q88" s="78"/>
      <c r="R88" s="78"/>
      <c r="S88" s="78"/>
      <c r="T88" s="78"/>
      <c r="U88" s="78"/>
      <c r="V88" s="101"/>
      <c r="W88" s="78"/>
      <c r="X88" s="78"/>
      <c r="Y88" s="78"/>
      <c r="Z88" s="78"/>
      <c r="AA88" s="78"/>
      <c r="AB88" s="78"/>
      <c r="AC88" s="78"/>
      <c r="AD88" s="78"/>
    </row>
    <row r="89" spans="1:30" s="81" customFormat="1">
      <c r="A89" s="102"/>
      <c r="B89" s="118" t="s">
        <v>73</v>
      </c>
      <c r="C89" s="78"/>
      <c r="D89" s="95"/>
      <c r="E89" s="96"/>
      <c r="F89" s="95"/>
      <c r="G89" s="95"/>
      <c r="H89" s="78"/>
      <c r="I89" s="95"/>
      <c r="J89" s="78"/>
      <c r="K89" s="95"/>
      <c r="L89" s="95">
        <f>N88/5.8</f>
        <v>22.068965517241381</v>
      </c>
      <c r="M89" s="95">
        <f t="shared" ref="M89:M92" si="19">L89*10%</f>
        <v>2.2068965517241383</v>
      </c>
      <c r="N89" s="107">
        <f>L89+M89</f>
        <v>24.27586206896552</v>
      </c>
      <c r="O89" s="100" t="s">
        <v>23</v>
      </c>
      <c r="P89" s="78"/>
      <c r="Q89" s="78"/>
      <c r="R89" s="78"/>
      <c r="S89" s="78"/>
      <c r="T89" s="78"/>
      <c r="U89" s="78"/>
      <c r="V89" s="101"/>
      <c r="W89" s="78"/>
      <c r="X89" s="78"/>
      <c r="Y89" s="78"/>
      <c r="Z89" s="78"/>
      <c r="AA89" s="78"/>
      <c r="AB89" s="78"/>
      <c r="AC89" s="78"/>
      <c r="AD89" s="78"/>
    </row>
    <row r="90" spans="1:30" s="81" customFormat="1">
      <c r="A90" s="126"/>
      <c r="B90" s="104"/>
      <c r="C90" s="78"/>
      <c r="D90" s="95"/>
      <c r="E90" s="96"/>
      <c r="F90" s="95"/>
      <c r="G90" s="95"/>
      <c r="H90" s="78"/>
      <c r="I90" s="95"/>
      <c r="J90" s="78"/>
      <c r="K90" s="95"/>
      <c r="L90" s="95"/>
      <c r="M90" s="95"/>
      <c r="N90" s="107"/>
      <c r="O90" s="100"/>
      <c r="P90" s="78"/>
      <c r="Q90" s="78"/>
      <c r="R90" s="78"/>
      <c r="S90" s="78"/>
      <c r="T90" s="78"/>
      <c r="U90" s="78"/>
      <c r="V90" s="101"/>
      <c r="W90" s="78"/>
      <c r="X90" s="78"/>
      <c r="Y90" s="78"/>
      <c r="Z90" s="78"/>
      <c r="AA90" s="78"/>
      <c r="AB90" s="78"/>
      <c r="AC90" s="78"/>
      <c r="AD90" s="78"/>
    </row>
    <row r="91" spans="1:30" s="81" customFormat="1">
      <c r="A91" s="102">
        <v>6.03</v>
      </c>
      <c r="B91" s="104" t="s">
        <v>309</v>
      </c>
      <c r="C91" s="78">
        <v>66</v>
      </c>
      <c r="D91" s="95">
        <v>0.8</v>
      </c>
      <c r="E91" s="96"/>
      <c r="F91" s="95"/>
      <c r="G91" s="95">
        <v>90</v>
      </c>
      <c r="H91" s="78">
        <v>5</v>
      </c>
      <c r="I91" s="95"/>
      <c r="J91" s="78"/>
      <c r="K91" s="95"/>
      <c r="L91" s="129">
        <f>G91*H91</f>
        <v>450</v>
      </c>
      <c r="M91" s="95"/>
      <c r="N91" s="107">
        <f>L91</f>
        <v>450</v>
      </c>
      <c r="O91" s="100" t="s">
        <v>2</v>
      </c>
      <c r="P91" s="78"/>
      <c r="Q91" s="78"/>
      <c r="R91" s="78"/>
      <c r="S91" s="78"/>
      <c r="T91" s="78"/>
      <c r="U91" s="78"/>
      <c r="V91" s="101"/>
      <c r="W91" s="78"/>
      <c r="X91" s="78"/>
      <c r="Y91" s="78"/>
      <c r="Z91" s="78"/>
      <c r="AA91" s="78"/>
      <c r="AB91" s="78"/>
      <c r="AC91" s="78"/>
      <c r="AD91" s="78"/>
    </row>
    <row r="92" spans="1:30" s="81" customFormat="1">
      <c r="A92" s="102"/>
      <c r="B92" s="118" t="s">
        <v>73</v>
      </c>
      <c r="C92" s="78"/>
      <c r="D92" s="95"/>
      <c r="E92" s="96"/>
      <c r="F92" s="95"/>
      <c r="G92" s="95"/>
      <c r="H92" s="78"/>
      <c r="I92" s="95"/>
      <c r="J92" s="78"/>
      <c r="K92" s="95"/>
      <c r="L92" s="95">
        <f>N91/5.8</f>
        <v>77.58620689655173</v>
      </c>
      <c r="M92" s="95">
        <f t="shared" si="19"/>
        <v>7.7586206896551735</v>
      </c>
      <c r="N92" s="107">
        <f>L92+M92</f>
        <v>85.344827586206904</v>
      </c>
      <c r="O92" s="100" t="s">
        <v>23</v>
      </c>
      <c r="P92" s="78"/>
      <c r="Q92" s="78"/>
      <c r="R92" s="78"/>
      <c r="S92" s="78"/>
      <c r="T92" s="78"/>
      <c r="U92" s="78"/>
      <c r="V92" s="101"/>
      <c r="W92" s="78"/>
      <c r="X92" s="78"/>
      <c r="Y92" s="78"/>
      <c r="Z92" s="78"/>
      <c r="AA92" s="78"/>
      <c r="AB92" s="78"/>
      <c r="AC92" s="78"/>
      <c r="AD92" s="78"/>
    </row>
    <row r="93" spans="1:30" s="81" customFormat="1">
      <c r="A93" s="102"/>
      <c r="B93" s="132"/>
      <c r="C93" s="78"/>
      <c r="D93" s="95"/>
      <c r="E93" s="96"/>
      <c r="F93" s="95"/>
      <c r="G93" s="95"/>
      <c r="H93" s="78"/>
      <c r="I93" s="95"/>
      <c r="J93" s="78"/>
      <c r="K93" s="95"/>
      <c r="L93" s="95"/>
      <c r="M93" s="95"/>
      <c r="N93" s="107"/>
      <c r="O93" s="100"/>
      <c r="P93" s="78"/>
      <c r="Q93" s="78"/>
      <c r="R93" s="78"/>
      <c r="S93" s="78"/>
      <c r="T93" s="78"/>
      <c r="U93" s="78"/>
      <c r="V93" s="101"/>
      <c r="W93" s="78"/>
      <c r="X93" s="78"/>
      <c r="Y93" s="78"/>
      <c r="Z93" s="78"/>
      <c r="AA93" s="78"/>
      <c r="AB93" s="78"/>
      <c r="AC93" s="78"/>
      <c r="AD93" s="78"/>
    </row>
    <row r="94" spans="1:30">
      <c r="A94" s="102">
        <v>6.04</v>
      </c>
      <c r="B94" s="104" t="s">
        <v>95</v>
      </c>
      <c r="C94" s="69">
        <v>42</v>
      </c>
      <c r="D94" s="107">
        <v>0.3</v>
      </c>
      <c r="G94" s="107">
        <f>C94/D94</f>
        <v>140</v>
      </c>
      <c r="H94" s="69">
        <v>1.5</v>
      </c>
      <c r="L94" s="129">
        <f>G94*H94</f>
        <v>210</v>
      </c>
      <c r="N94" s="133">
        <f>L94</f>
        <v>210</v>
      </c>
      <c r="O94" s="117" t="s">
        <v>2</v>
      </c>
      <c r="P94" s="78"/>
      <c r="Q94" s="78"/>
      <c r="R94" s="78"/>
      <c r="S94" s="78"/>
      <c r="T94" s="78"/>
      <c r="U94" s="78"/>
    </row>
    <row r="95" spans="1:30">
      <c r="A95" s="102"/>
      <c r="B95" s="118" t="s">
        <v>75</v>
      </c>
      <c r="L95" s="95">
        <f>N94/5.8</f>
        <v>36.206896551724142</v>
      </c>
      <c r="M95" s="95">
        <f>L95*10%</f>
        <v>3.6206896551724146</v>
      </c>
      <c r="N95" s="107">
        <f>L95+M95</f>
        <v>39.827586206896555</v>
      </c>
      <c r="O95" s="117" t="s">
        <v>23</v>
      </c>
    </row>
    <row r="96" spans="1:30">
      <c r="A96" s="126" t="s">
        <v>202</v>
      </c>
      <c r="B96" s="104"/>
      <c r="O96" s="117"/>
    </row>
    <row r="97" spans="1:15">
      <c r="A97" s="102">
        <v>6.05</v>
      </c>
      <c r="B97" s="104" t="s">
        <v>96</v>
      </c>
      <c r="C97" s="69">
        <v>32</v>
      </c>
      <c r="D97" s="107">
        <v>0.3</v>
      </c>
      <c r="G97" s="107">
        <f>C97/D97</f>
        <v>106.66666666666667</v>
      </c>
      <c r="H97" s="69">
        <v>1.5</v>
      </c>
      <c r="L97" s="129">
        <f>G97*H97</f>
        <v>160</v>
      </c>
      <c r="N97" s="107">
        <f>L97</f>
        <v>160</v>
      </c>
      <c r="O97" s="117" t="s">
        <v>2</v>
      </c>
    </row>
    <row r="98" spans="1:15">
      <c r="A98" s="102"/>
      <c r="B98" s="118" t="s">
        <v>75</v>
      </c>
      <c r="L98" s="95">
        <f>N97/5.8</f>
        <v>27.586206896551726</v>
      </c>
      <c r="M98" s="95">
        <f>L98*10%</f>
        <v>2.7586206896551726</v>
      </c>
      <c r="N98" s="110">
        <f>L98+M98</f>
        <v>30.344827586206897</v>
      </c>
      <c r="O98" s="117" t="s">
        <v>23</v>
      </c>
    </row>
    <row r="99" spans="1:15">
      <c r="A99" s="126" t="s">
        <v>202</v>
      </c>
      <c r="B99" s="104"/>
      <c r="O99" s="117"/>
    </row>
    <row r="100" spans="1:15">
      <c r="A100" s="102">
        <v>6.06</v>
      </c>
      <c r="B100" s="104" t="s">
        <v>110</v>
      </c>
      <c r="C100" s="134">
        <v>10</v>
      </c>
      <c r="L100" s="129">
        <f>C100</f>
        <v>10</v>
      </c>
      <c r="N100" s="107">
        <f>L100</f>
        <v>10</v>
      </c>
      <c r="O100" s="117" t="s">
        <v>122</v>
      </c>
    </row>
    <row r="101" spans="1:15">
      <c r="B101" s="118" t="s">
        <v>111</v>
      </c>
      <c r="N101" s="110">
        <f>N100</f>
        <v>10</v>
      </c>
      <c r="O101" s="117" t="s">
        <v>122</v>
      </c>
    </row>
    <row r="102" spans="1:15">
      <c r="A102" s="126" t="s">
        <v>202</v>
      </c>
      <c r="B102" s="108"/>
      <c r="O102" s="117"/>
    </row>
    <row r="103" spans="1:15">
      <c r="A103" s="102">
        <v>6.07</v>
      </c>
      <c r="B103" s="169" t="s">
        <v>314</v>
      </c>
      <c r="N103" s="135"/>
      <c r="O103" s="117"/>
    </row>
    <row r="104" spans="1:15">
      <c r="B104" s="69" t="s">
        <v>310</v>
      </c>
      <c r="C104" s="69">
        <v>1</v>
      </c>
      <c r="D104" s="107">
        <v>14</v>
      </c>
      <c r="G104" s="107">
        <f>D104</f>
        <v>14</v>
      </c>
      <c r="H104" s="69">
        <v>8</v>
      </c>
      <c r="L104" s="95">
        <f>G104*H104</f>
        <v>112</v>
      </c>
      <c r="M104" s="95">
        <f>L104*10%</f>
        <v>11.200000000000001</v>
      </c>
      <c r="N104" s="110">
        <f>L104+M104</f>
        <v>123.2</v>
      </c>
      <c r="O104" s="117" t="s">
        <v>41</v>
      </c>
    </row>
    <row r="105" spans="1:15">
      <c r="B105" s="69" t="s">
        <v>311</v>
      </c>
      <c r="C105" s="69">
        <v>1</v>
      </c>
      <c r="D105" s="107">
        <v>70</v>
      </c>
      <c r="G105" s="107">
        <v>70</v>
      </c>
      <c r="H105" s="69">
        <v>3.2</v>
      </c>
      <c r="L105" s="95">
        <f>G105*H105</f>
        <v>224</v>
      </c>
      <c r="M105" s="95">
        <f>L105*10%</f>
        <v>22.400000000000002</v>
      </c>
      <c r="N105" s="110">
        <f>L105+M105</f>
        <v>246.4</v>
      </c>
      <c r="O105" s="117" t="s">
        <v>41</v>
      </c>
    </row>
    <row r="106" spans="1:15">
      <c r="B106" s="118"/>
      <c r="N106" s="110"/>
      <c r="O106" s="117"/>
    </row>
    <row r="107" spans="1:15">
      <c r="B107" s="164" t="s">
        <v>312</v>
      </c>
      <c r="N107" s="165">
        <f>SUM(N104:N105)</f>
        <v>369.6</v>
      </c>
      <c r="O107" s="166" t="s">
        <v>41</v>
      </c>
    </row>
    <row r="108" spans="1:15">
      <c r="B108" s="164"/>
      <c r="N108" s="165"/>
      <c r="O108" s="166"/>
    </row>
    <row r="109" spans="1:15">
      <c r="A109" s="98">
        <v>7</v>
      </c>
      <c r="B109" s="98" t="s">
        <v>112</v>
      </c>
    </row>
    <row r="110" spans="1:15">
      <c r="A110" s="102">
        <v>7.01</v>
      </c>
      <c r="B110" s="112" t="s">
        <v>113</v>
      </c>
      <c r="D110" s="69"/>
      <c r="E110" s="69"/>
      <c r="F110" s="69"/>
      <c r="G110" s="69"/>
      <c r="I110" s="69"/>
      <c r="K110" s="69"/>
      <c r="L110" s="69"/>
      <c r="M110" s="69"/>
      <c r="N110" s="69"/>
      <c r="O110" s="69"/>
    </row>
    <row r="111" spans="1:15">
      <c r="A111" s="102"/>
      <c r="B111" s="136" t="s">
        <v>305</v>
      </c>
      <c r="C111" s="69">
        <v>2</v>
      </c>
      <c r="D111" s="107">
        <v>2</v>
      </c>
      <c r="G111" s="107">
        <f>C111*D111</f>
        <v>4</v>
      </c>
      <c r="H111" s="107"/>
      <c r="J111" s="69">
        <v>2.2000000000000002</v>
      </c>
      <c r="K111" s="69"/>
      <c r="L111" s="107">
        <f>G111*J111</f>
        <v>8.8000000000000007</v>
      </c>
      <c r="M111" s="69">
        <f>L111*10%</f>
        <v>0.88000000000000012</v>
      </c>
      <c r="N111" s="107">
        <f>L111+M111</f>
        <v>9.6800000000000015</v>
      </c>
      <c r="O111" s="117" t="s">
        <v>41</v>
      </c>
    </row>
    <row r="112" spans="1:15">
      <c r="B112" s="108"/>
    </row>
    <row r="113" spans="1:22">
      <c r="A113" s="102">
        <v>7.02</v>
      </c>
      <c r="B113" s="112" t="s">
        <v>114</v>
      </c>
    </row>
    <row r="114" spans="1:22" s="78" customFormat="1">
      <c r="A114" s="106"/>
      <c r="B114" s="138"/>
      <c r="D114" s="95"/>
      <c r="E114" s="96"/>
      <c r="F114" s="95"/>
      <c r="G114" s="95"/>
      <c r="I114" s="95"/>
      <c r="K114" s="95"/>
      <c r="L114" s="95"/>
      <c r="M114" s="95"/>
      <c r="N114" s="107"/>
      <c r="O114" s="100"/>
      <c r="P114" s="69"/>
      <c r="Q114" s="69"/>
      <c r="R114" s="69"/>
      <c r="S114" s="69"/>
      <c r="T114" s="69"/>
      <c r="U114" s="69"/>
      <c r="V114" s="101"/>
    </row>
    <row r="115" spans="1:22">
      <c r="B115" s="69"/>
    </row>
    <row r="116" spans="1:22">
      <c r="A116" s="102">
        <v>7.03</v>
      </c>
      <c r="B116" s="70" t="s">
        <v>115</v>
      </c>
    </row>
    <row r="117" spans="1:22">
      <c r="B117" s="69"/>
    </row>
    <row r="118" spans="1:22">
      <c r="B118" s="69"/>
    </row>
    <row r="119" spans="1:22">
      <c r="A119" s="98">
        <v>8</v>
      </c>
      <c r="B119" s="98" t="s">
        <v>116</v>
      </c>
    </row>
    <row r="120" spans="1:22" hidden="1">
      <c r="A120" s="102">
        <v>8.01</v>
      </c>
      <c r="B120" s="139" t="s">
        <v>211</v>
      </c>
      <c r="G120" s="114"/>
      <c r="L120" s="95">
        <f>G120</f>
        <v>0</v>
      </c>
      <c r="N120" s="107">
        <f>L120</f>
        <v>0</v>
      </c>
      <c r="O120" s="100" t="s">
        <v>2</v>
      </c>
    </row>
    <row r="121" spans="1:22" hidden="1">
      <c r="A121" s="98"/>
      <c r="B121" s="140" t="s">
        <v>212</v>
      </c>
      <c r="L121" s="95">
        <f>N120/5.8</f>
        <v>0</v>
      </c>
      <c r="M121" s="95">
        <f>L121*10%</f>
        <v>0</v>
      </c>
      <c r="N121" s="130">
        <f>L121+M121</f>
        <v>0</v>
      </c>
      <c r="O121" s="131" t="s">
        <v>2</v>
      </c>
    </row>
    <row r="122" spans="1:22" hidden="1">
      <c r="A122" s="141" t="s">
        <v>202</v>
      </c>
      <c r="B122" s="98"/>
    </row>
    <row r="123" spans="1:22" hidden="1">
      <c r="A123" s="102">
        <v>8.02</v>
      </c>
      <c r="B123" s="70" t="s">
        <v>204</v>
      </c>
      <c r="G123" s="114"/>
      <c r="L123" s="129">
        <f>G123</f>
        <v>0</v>
      </c>
      <c r="N123" s="107">
        <f>L123</f>
        <v>0</v>
      </c>
      <c r="O123" s="100" t="s">
        <v>2</v>
      </c>
    </row>
    <row r="124" spans="1:22" hidden="1">
      <c r="B124" s="69" t="s">
        <v>205</v>
      </c>
      <c r="L124" s="95">
        <f>N123/5.8</f>
        <v>0</v>
      </c>
      <c r="M124" s="95">
        <f>L124*10%</f>
        <v>0</v>
      </c>
      <c r="N124" s="130">
        <f>L124+M124</f>
        <v>0</v>
      </c>
      <c r="O124" s="131" t="s">
        <v>2</v>
      </c>
      <c r="P124" s="70"/>
      <c r="Q124" s="70"/>
      <c r="R124" s="70"/>
      <c r="S124" s="70"/>
      <c r="T124" s="70"/>
      <c r="U124" s="70"/>
    </row>
    <row r="125" spans="1:22" hidden="1">
      <c r="A125" s="128" t="s">
        <v>202</v>
      </c>
      <c r="B125" s="69"/>
      <c r="V125" s="113" t="s">
        <v>210</v>
      </c>
    </row>
    <row r="126" spans="1:22" hidden="1">
      <c r="A126" s="102">
        <v>8.0299999999999994</v>
      </c>
      <c r="B126" s="137" t="s">
        <v>216</v>
      </c>
      <c r="G126" s="114"/>
      <c r="L126" s="129">
        <f>G126</f>
        <v>0</v>
      </c>
      <c r="N126" s="107">
        <f>L126</f>
        <v>0</v>
      </c>
      <c r="O126" s="100" t="s">
        <v>2</v>
      </c>
    </row>
    <row r="127" spans="1:22" hidden="1">
      <c r="A127" s="128"/>
      <c r="B127" s="69" t="s">
        <v>217</v>
      </c>
      <c r="L127" s="95">
        <f>N126/5.8</f>
        <v>0</v>
      </c>
      <c r="M127" s="95">
        <f t="shared" ref="M127" si="20">L127*10%</f>
        <v>0</v>
      </c>
      <c r="N127" s="130">
        <f>L127+M127</f>
        <v>0</v>
      </c>
      <c r="O127" s="131" t="s">
        <v>2</v>
      </c>
    </row>
    <row r="128" spans="1:22" hidden="1">
      <c r="A128" s="128" t="s">
        <v>202</v>
      </c>
      <c r="B128" s="69"/>
      <c r="P128" s="70"/>
      <c r="Q128" s="70"/>
      <c r="R128" s="70"/>
      <c r="S128" s="70"/>
      <c r="T128" s="70"/>
      <c r="U128" s="70"/>
    </row>
    <row r="129" spans="1:22" hidden="1">
      <c r="A129" s="102">
        <v>8.0399999999999991</v>
      </c>
      <c r="B129" s="137" t="s">
        <v>117</v>
      </c>
      <c r="G129" s="114"/>
      <c r="L129" s="129">
        <f>G129</f>
        <v>0</v>
      </c>
      <c r="N129" s="107">
        <f>L129</f>
        <v>0</v>
      </c>
      <c r="O129" s="100" t="str">
        <f>O123</f>
        <v>m</v>
      </c>
    </row>
    <row r="130" spans="1:22" hidden="1">
      <c r="A130" s="126" t="s">
        <v>207</v>
      </c>
      <c r="B130" s="142" t="s">
        <v>206</v>
      </c>
      <c r="L130" s="95">
        <f>N129/18</f>
        <v>0</v>
      </c>
      <c r="M130" s="95">
        <f>L130*10%</f>
        <v>0</v>
      </c>
      <c r="N130" s="107">
        <f>L130+M130</f>
        <v>0</v>
      </c>
      <c r="O130" s="100" t="s">
        <v>2</v>
      </c>
    </row>
    <row r="131" spans="1:22" hidden="1">
      <c r="A131" s="126"/>
      <c r="B131" s="142" t="s">
        <v>208</v>
      </c>
      <c r="C131" s="69">
        <v>2</v>
      </c>
      <c r="L131" s="95">
        <f>N129/8</f>
        <v>0</v>
      </c>
      <c r="M131" s="95">
        <f>L131*10%</f>
        <v>0</v>
      </c>
      <c r="N131" s="107">
        <v>6</v>
      </c>
      <c r="O131" s="100" t="s">
        <v>2</v>
      </c>
    </row>
    <row r="132" spans="1:22" hidden="1">
      <c r="A132" s="128" t="s">
        <v>202</v>
      </c>
      <c r="B132" s="69"/>
      <c r="P132" s="70"/>
      <c r="Q132" s="70"/>
      <c r="R132" s="70"/>
      <c r="S132" s="70"/>
      <c r="T132" s="70"/>
      <c r="U132" s="70"/>
    </row>
    <row r="133" spans="1:22">
      <c r="A133" s="102">
        <v>8.01</v>
      </c>
      <c r="B133" s="70" t="s">
        <v>294</v>
      </c>
      <c r="G133" s="114"/>
      <c r="L133" s="129">
        <f>G133</f>
        <v>0</v>
      </c>
      <c r="N133" s="107">
        <f>L133</f>
        <v>0</v>
      </c>
      <c r="O133" s="100" t="s">
        <v>2</v>
      </c>
    </row>
    <row r="134" spans="1:22">
      <c r="B134" s="69" t="s">
        <v>295</v>
      </c>
      <c r="C134" s="69">
        <v>11</v>
      </c>
      <c r="D134" s="107">
        <f>4045*2</f>
        <v>8090</v>
      </c>
      <c r="E134" s="108">
        <v>6200</v>
      </c>
      <c r="F134" s="107">
        <f>9*1200</f>
        <v>10800</v>
      </c>
      <c r="G134" s="107">
        <f>D134*C134+E134*C134+F134*C134</f>
        <v>275990</v>
      </c>
      <c r="L134" s="95">
        <f>N133/5.8</f>
        <v>0</v>
      </c>
      <c r="M134" s="95">
        <f>N134*0.1</f>
        <v>4.5998333333333337</v>
      </c>
      <c r="N134" s="110">
        <f>G134/6000</f>
        <v>45.998333333333335</v>
      </c>
      <c r="O134" s="104" t="s">
        <v>2</v>
      </c>
    </row>
    <row r="135" spans="1:22">
      <c r="A135" s="128" t="s">
        <v>202</v>
      </c>
      <c r="B135" s="69"/>
      <c r="N135" s="110"/>
      <c r="O135" s="104"/>
      <c r="V135" s="113" t="s">
        <v>209</v>
      </c>
    </row>
    <row r="136" spans="1:22" hidden="1">
      <c r="A136" s="102">
        <v>8.06</v>
      </c>
      <c r="B136" s="137" t="s">
        <v>213</v>
      </c>
      <c r="G136" s="114"/>
      <c r="L136" s="129">
        <f>G136</f>
        <v>0</v>
      </c>
      <c r="N136" s="107">
        <f>L136</f>
        <v>0</v>
      </c>
      <c r="P136" s="70"/>
      <c r="Q136" s="70"/>
      <c r="R136" s="70"/>
      <c r="S136" s="70"/>
      <c r="T136" s="70"/>
      <c r="U136" s="70"/>
    </row>
    <row r="137" spans="1:22" hidden="1">
      <c r="A137" s="102"/>
      <c r="B137" s="142" t="s">
        <v>214</v>
      </c>
      <c r="L137" s="95">
        <f>N136/5.8</f>
        <v>0</v>
      </c>
      <c r="M137" s="95">
        <f t="shared" ref="M137:M140" si="21">L137*10%</f>
        <v>0</v>
      </c>
      <c r="N137" s="130">
        <f>L137+M137</f>
        <v>0</v>
      </c>
      <c r="O137" s="131" t="s">
        <v>2</v>
      </c>
    </row>
    <row r="138" spans="1:22" hidden="1">
      <c r="A138" s="128" t="s">
        <v>202</v>
      </c>
      <c r="B138" s="69"/>
    </row>
    <row r="139" spans="1:22" hidden="1">
      <c r="A139" s="102">
        <v>8.07</v>
      </c>
      <c r="B139" s="70" t="s">
        <v>118</v>
      </c>
      <c r="G139" s="114"/>
      <c r="L139" s="129">
        <f>G139</f>
        <v>0</v>
      </c>
      <c r="N139" s="107">
        <f>L139</f>
        <v>0</v>
      </c>
      <c r="O139" s="100" t="s">
        <v>2</v>
      </c>
    </row>
    <row r="140" spans="1:22" hidden="1">
      <c r="A140" s="102"/>
      <c r="B140" s="142" t="s">
        <v>215</v>
      </c>
      <c r="L140" s="95">
        <f>N139/5.8</f>
        <v>0</v>
      </c>
      <c r="M140" s="95">
        <f t="shared" si="21"/>
        <v>0</v>
      </c>
      <c r="N140" s="130">
        <f>L140+M140</f>
        <v>0</v>
      </c>
      <c r="O140" s="131" t="s">
        <v>2</v>
      </c>
      <c r="P140" s="125"/>
      <c r="Q140" s="125"/>
      <c r="R140" s="125"/>
      <c r="S140" s="125"/>
      <c r="T140" s="125"/>
      <c r="U140" s="125"/>
    </row>
    <row r="141" spans="1:22" hidden="1">
      <c r="A141" s="128" t="s">
        <v>202</v>
      </c>
      <c r="B141" s="69"/>
      <c r="P141" s="120"/>
      <c r="Q141" s="120"/>
      <c r="R141" s="120"/>
      <c r="S141" s="120"/>
      <c r="T141" s="120"/>
      <c r="U141" s="120"/>
    </row>
    <row r="142" spans="1:22">
      <c r="A142" s="102">
        <v>8.02</v>
      </c>
      <c r="B142" s="70" t="s">
        <v>119</v>
      </c>
      <c r="G142" s="114"/>
      <c r="L142" s="95">
        <f>G142</f>
        <v>0</v>
      </c>
      <c r="N142" s="107">
        <f>L142</f>
        <v>0</v>
      </c>
      <c r="O142" s="100" t="s">
        <v>2</v>
      </c>
      <c r="P142" s="78"/>
      <c r="Q142" s="78"/>
      <c r="R142" s="78"/>
      <c r="S142" s="78"/>
      <c r="T142" s="78"/>
      <c r="U142" s="78"/>
    </row>
    <row r="143" spans="1:22">
      <c r="A143" s="102"/>
      <c r="B143" s="69" t="s">
        <v>127</v>
      </c>
      <c r="C143" s="69">
        <v>2</v>
      </c>
      <c r="D143" s="107">
        <v>11500</v>
      </c>
      <c r="E143" s="108">
        <v>6200</v>
      </c>
      <c r="G143" s="107">
        <f>D143*C143+E143*C143</f>
        <v>35400</v>
      </c>
      <c r="L143" s="95">
        <f>N142/5.8</f>
        <v>0</v>
      </c>
      <c r="M143" s="95">
        <f>N143*0.1</f>
        <v>0.59000000000000008</v>
      </c>
      <c r="N143" s="130">
        <f>G143/6000</f>
        <v>5.9</v>
      </c>
      <c r="O143" s="131" t="s">
        <v>2</v>
      </c>
      <c r="P143" s="78"/>
      <c r="Q143" s="78"/>
      <c r="R143" s="78"/>
      <c r="S143" s="78"/>
      <c r="T143" s="78"/>
      <c r="U143" s="78"/>
    </row>
    <row r="144" spans="1:22">
      <c r="A144" s="126" t="s">
        <v>202</v>
      </c>
      <c r="B144" s="69"/>
      <c r="P144" s="78"/>
      <c r="Q144" s="78"/>
      <c r="R144" s="78"/>
      <c r="S144" s="78"/>
      <c r="T144" s="78"/>
      <c r="U144" s="78"/>
    </row>
    <row r="145" spans="1:21">
      <c r="A145" s="102">
        <v>8.0299999999999994</v>
      </c>
      <c r="B145" s="70" t="s">
        <v>199</v>
      </c>
      <c r="G145" s="114"/>
      <c r="L145" s="129">
        <f>G145</f>
        <v>0</v>
      </c>
      <c r="N145" s="107">
        <f>L145</f>
        <v>0</v>
      </c>
      <c r="O145" s="100" t="s">
        <v>2</v>
      </c>
      <c r="P145" s="78"/>
      <c r="Q145" s="78"/>
      <c r="R145" s="78"/>
      <c r="S145" s="78"/>
      <c r="T145" s="78"/>
      <c r="U145" s="78"/>
    </row>
    <row r="146" spans="1:21">
      <c r="A146" s="102"/>
      <c r="B146" s="69" t="s">
        <v>126</v>
      </c>
      <c r="C146" s="69">
        <v>7</v>
      </c>
      <c r="D146" s="107">
        <f>1515*3</f>
        <v>4545</v>
      </c>
      <c r="E146" s="108">
        <f>1200*1</f>
        <v>1200</v>
      </c>
      <c r="G146" s="107">
        <f>D146*C146+E146*C146</f>
        <v>40215</v>
      </c>
      <c r="L146" s="95">
        <f>N145/5.8</f>
        <v>0</v>
      </c>
      <c r="M146" s="95">
        <v>1</v>
      </c>
      <c r="N146" s="110">
        <f>G146/6000</f>
        <v>6.7024999999999997</v>
      </c>
      <c r="O146" s="104" t="s">
        <v>2</v>
      </c>
      <c r="P146" s="78"/>
      <c r="Q146" s="78"/>
      <c r="R146" s="78"/>
      <c r="S146" s="78"/>
      <c r="T146" s="78"/>
      <c r="U146" s="78"/>
    </row>
    <row r="147" spans="1:21">
      <c r="A147" s="126"/>
      <c r="B147" s="69"/>
      <c r="C147" s="69">
        <v>1</v>
      </c>
      <c r="D147" s="107">
        <f>1200*1</f>
        <v>1200</v>
      </c>
      <c r="E147" s="108">
        <f>1235*3</f>
        <v>3705</v>
      </c>
      <c r="G147" s="107">
        <f>D147+E147</f>
        <v>4905</v>
      </c>
      <c r="M147" s="95">
        <v>1</v>
      </c>
      <c r="N147" s="110">
        <f t="shared" ref="N147:N150" si="22">G147/6000</f>
        <v>0.8175</v>
      </c>
      <c r="P147" s="78"/>
      <c r="Q147" s="78"/>
      <c r="R147" s="78"/>
      <c r="S147" s="78"/>
      <c r="T147" s="78"/>
      <c r="U147" s="78"/>
    </row>
    <row r="148" spans="1:21">
      <c r="A148" s="126"/>
      <c r="B148" s="69"/>
      <c r="C148" s="69">
        <v>2</v>
      </c>
      <c r="D148" s="107">
        <f>1865*3</f>
        <v>5595</v>
      </c>
      <c r="E148" s="108">
        <f>1200*3</f>
        <v>3600</v>
      </c>
      <c r="G148" s="107">
        <f>D148*C148+E148*C148</f>
        <v>18390</v>
      </c>
      <c r="M148" s="95">
        <v>1</v>
      </c>
      <c r="N148" s="110">
        <f t="shared" si="22"/>
        <v>3.0649999999999999</v>
      </c>
      <c r="P148" s="78"/>
      <c r="Q148" s="78"/>
      <c r="R148" s="78"/>
      <c r="S148" s="78"/>
      <c r="T148" s="78"/>
      <c r="U148" s="78"/>
    </row>
    <row r="149" spans="1:21">
      <c r="A149" s="126"/>
      <c r="B149" s="69"/>
      <c r="C149" s="69">
        <v>1</v>
      </c>
      <c r="D149" s="107">
        <f>1865*3</f>
        <v>5595</v>
      </c>
      <c r="E149" s="108">
        <f>1800*3</f>
        <v>5400</v>
      </c>
      <c r="G149" s="107">
        <f>D149+E149</f>
        <v>10995</v>
      </c>
      <c r="M149" s="95">
        <v>1</v>
      </c>
      <c r="N149" s="110">
        <f t="shared" si="22"/>
        <v>1.8325</v>
      </c>
      <c r="P149" s="78"/>
      <c r="Q149" s="78"/>
      <c r="R149" s="78"/>
      <c r="S149" s="78"/>
      <c r="T149" s="78"/>
      <c r="U149" s="78"/>
    </row>
    <row r="150" spans="1:21">
      <c r="A150" s="126"/>
      <c r="B150" s="69"/>
      <c r="C150" s="69">
        <v>2</v>
      </c>
      <c r="D150" s="107">
        <f>955*2</f>
        <v>1910</v>
      </c>
      <c r="E150" s="108">
        <f>600*2</f>
        <v>1200</v>
      </c>
      <c r="G150" s="107">
        <f>D150*C150+E150*C150</f>
        <v>6220</v>
      </c>
      <c r="M150" s="95">
        <v>1</v>
      </c>
      <c r="N150" s="110">
        <f t="shared" si="22"/>
        <v>1.0366666666666666</v>
      </c>
      <c r="P150" s="78"/>
      <c r="Q150" s="78"/>
      <c r="R150" s="78"/>
      <c r="S150" s="78"/>
      <c r="T150" s="78"/>
      <c r="U150" s="78"/>
    </row>
    <row r="151" spans="1:21">
      <c r="A151" s="126"/>
      <c r="B151" s="69"/>
      <c r="N151" s="110"/>
      <c r="P151" s="78"/>
      <c r="Q151" s="78"/>
      <c r="R151" s="78"/>
      <c r="S151" s="78"/>
      <c r="T151" s="78"/>
      <c r="U151" s="78"/>
    </row>
    <row r="152" spans="1:21">
      <c r="A152" s="102">
        <v>8.0399999999999991</v>
      </c>
      <c r="B152" s="137" t="s">
        <v>290</v>
      </c>
      <c r="D152" s="107">
        <f>1300*9</f>
        <v>11700</v>
      </c>
      <c r="E152" s="108">
        <v>1900</v>
      </c>
      <c r="F152" s="107">
        <f>1055*2</f>
        <v>2110</v>
      </c>
      <c r="G152" s="107">
        <f>D152+E152+F152</f>
        <v>15710</v>
      </c>
      <c r="M152" s="95">
        <v>1</v>
      </c>
      <c r="N152" s="110">
        <f>G152/6000</f>
        <v>2.6183333333333332</v>
      </c>
      <c r="P152" s="78"/>
      <c r="Q152" s="78"/>
      <c r="R152" s="78"/>
      <c r="S152" s="78"/>
      <c r="T152" s="78"/>
      <c r="U152" s="78"/>
    </row>
    <row r="153" spans="1:21">
      <c r="A153" s="126" t="s">
        <v>289</v>
      </c>
      <c r="B153" s="69"/>
      <c r="C153" s="69">
        <v>5</v>
      </c>
      <c r="D153" s="107">
        <f>2100*2</f>
        <v>4200</v>
      </c>
      <c r="E153" s="108">
        <v>900</v>
      </c>
      <c r="G153" s="130">
        <f>D153*C153+E153*C153</f>
        <v>25500</v>
      </c>
      <c r="N153" s="110">
        <f>G153/6000</f>
        <v>4.25</v>
      </c>
      <c r="P153" s="78"/>
      <c r="Q153" s="78"/>
      <c r="R153" s="78"/>
      <c r="S153" s="78"/>
      <c r="T153" s="78"/>
      <c r="U153" s="78"/>
    </row>
    <row r="154" spans="1:21">
      <c r="A154" s="126"/>
      <c r="B154" s="69"/>
      <c r="C154" s="69">
        <v>2</v>
      </c>
      <c r="D154" s="107">
        <f>2100*2</f>
        <v>4200</v>
      </c>
      <c r="E154" s="108">
        <v>751</v>
      </c>
      <c r="G154" s="130">
        <f>D154*C154+E154*C154</f>
        <v>9902</v>
      </c>
      <c r="N154" s="110">
        <f>G154/6000</f>
        <v>1.6503333333333334</v>
      </c>
      <c r="P154" s="78"/>
      <c r="Q154" s="78"/>
      <c r="R154" s="78"/>
      <c r="S154" s="78"/>
      <c r="T154" s="78"/>
      <c r="U154" s="78"/>
    </row>
    <row r="155" spans="1:21">
      <c r="A155" s="126"/>
      <c r="B155" s="69"/>
      <c r="G155" s="130"/>
      <c r="N155" s="110"/>
      <c r="P155" s="78"/>
      <c r="Q155" s="78"/>
      <c r="R155" s="78"/>
      <c r="S155" s="78"/>
      <c r="T155" s="78"/>
      <c r="U155" s="78"/>
    </row>
    <row r="156" spans="1:21">
      <c r="A156" s="126"/>
      <c r="B156" s="69"/>
      <c r="G156" s="130"/>
      <c r="N156" s="110"/>
      <c r="P156" s="78"/>
      <c r="Q156" s="78"/>
      <c r="R156" s="78"/>
      <c r="S156" s="78"/>
      <c r="T156" s="78"/>
      <c r="U156" s="78"/>
    </row>
    <row r="157" spans="1:21">
      <c r="A157" s="102">
        <v>8.0500000000000007</v>
      </c>
      <c r="B157" s="70" t="s">
        <v>218</v>
      </c>
      <c r="G157" s="114"/>
      <c r="L157" s="129"/>
      <c r="O157" s="100" t="s">
        <v>2</v>
      </c>
      <c r="P157" s="78"/>
      <c r="Q157" s="78"/>
      <c r="R157" s="78"/>
      <c r="S157" s="78"/>
      <c r="T157" s="78"/>
      <c r="U157" s="78"/>
    </row>
    <row r="158" spans="1:21">
      <c r="A158" s="102"/>
      <c r="B158" s="70" t="s">
        <v>296</v>
      </c>
      <c r="C158" s="69">
        <v>10</v>
      </c>
      <c r="D158" s="107">
        <v>1145</v>
      </c>
      <c r="E158" s="108">
        <v>10</v>
      </c>
      <c r="F158" s="107">
        <f>18*560</f>
        <v>10080</v>
      </c>
      <c r="G158" s="114">
        <f>D158*E158*C158</f>
        <v>114500</v>
      </c>
      <c r="H158" s="69">
        <f>F158*C158</f>
        <v>100800</v>
      </c>
      <c r="I158" s="107">
        <f>G158/6000</f>
        <v>19.083333333333332</v>
      </c>
      <c r="L158" s="129">
        <f>H158/6000</f>
        <v>16.8</v>
      </c>
      <c r="M158" s="95">
        <f>N158*0.1</f>
        <v>3.5883333333333334</v>
      </c>
      <c r="N158" s="107">
        <f>L158+I158</f>
        <v>35.883333333333333</v>
      </c>
      <c r="P158" s="78"/>
      <c r="Q158" s="78"/>
      <c r="R158" s="78"/>
      <c r="S158" s="78"/>
      <c r="T158" s="78"/>
      <c r="U158" s="78"/>
    </row>
    <row r="159" spans="1:21">
      <c r="B159" s="69" t="s">
        <v>128</v>
      </c>
      <c r="C159" s="69">
        <v>10</v>
      </c>
      <c r="D159" s="107">
        <v>12100</v>
      </c>
      <c r="E159" s="108">
        <f>3975*11*2</f>
        <v>87450</v>
      </c>
      <c r="G159" s="107">
        <f>C159*D159+E159</f>
        <v>208450</v>
      </c>
      <c r="L159" s="95">
        <f>N157/5.8</f>
        <v>0</v>
      </c>
      <c r="M159" s="95">
        <f>N159*0.1</f>
        <v>3.4741666666666671</v>
      </c>
      <c r="N159" s="110">
        <f>G159/6000</f>
        <v>34.741666666666667</v>
      </c>
      <c r="O159" s="104" t="s">
        <v>23</v>
      </c>
      <c r="P159" s="78"/>
      <c r="Q159" s="78"/>
      <c r="R159" s="78"/>
      <c r="S159" s="78"/>
      <c r="T159" s="78"/>
      <c r="U159" s="78"/>
    </row>
    <row r="160" spans="1:21">
      <c r="A160" s="143" t="s">
        <v>202</v>
      </c>
      <c r="B160" s="69"/>
      <c r="N160" s="110"/>
      <c r="O160" s="104"/>
      <c r="P160" s="78"/>
      <c r="Q160" s="78"/>
      <c r="R160" s="78"/>
      <c r="S160" s="78"/>
      <c r="T160" s="78"/>
      <c r="U160" s="78"/>
    </row>
    <row r="161" spans="1:21">
      <c r="A161" s="102">
        <v>8.06</v>
      </c>
      <c r="B161" s="137" t="s">
        <v>219</v>
      </c>
      <c r="G161" s="114"/>
      <c r="L161" s="95">
        <f>G161</f>
        <v>0</v>
      </c>
      <c r="N161" s="135">
        <f>L161</f>
        <v>0</v>
      </c>
      <c r="O161" s="144" t="s">
        <v>2</v>
      </c>
      <c r="P161" s="78"/>
      <c r="Q161" s="78"/>
      <c r="R161" s="78"/>
      <c r="S161" s="78"/>
      <c r="T161" s="78"/>
      <c r="U161" s="78"/>
    </row>
    <row r="162" spans="1:21">
      <c r="A162" s="102"/>
      <c r="B162" s="142" t="s">
        <v>220</v>
      </c>
      <c r="C162" s="69">
        <v>36</v>
      </c>
      <c r="D162" s="107">
        <v>11500</v>
      </c>
      <c r="G162" s="107">
        <f>D162*C162</f>
        <v>414000</v>
      </c>
      <c r="L162" s="95">
        <f>N161/5.8</f>
        <v>0</v>
      </c>
      <c r="M162" s="95">
        <f t="shared" ref="M162" si="23">N162*0.1</f>
        <v>6.9</v>
      </c>
      <c r="N162" s="110">
        <f>G162/6000</f>
        <v>69</v>
      </c>
      <c r="O162" s="104" t="s">
        <v>23</v>
      </c>
      <c r="P162" s="78"/>
      <c r="Q162" s="78"/>
      <c r="R162" s="78"/>
      <c r="S162" s="78"/>
      <c r="T162" s="78"/>
      <c r="U162" s="78"/>
    </row>
    <row r="163" spans="1:21">
      <c r="A163" s="126" t="s">
        <v>202</v>
      </c>
      <c r="B163" s="137"/>
      <c r="N163" s="110"/>
      <c r="O163" s="104"/>
      <c r="P163" s="78"/>
      <c r="Q163" s="78"/>
      <c r="R163" s="78"/>
      <c r="S163" s="78"/>
      <c r="T163" s="78"/>
      <c r="U163" s="78"/>
    </row>
    <row r="164" spans="1:21">
      <c r="A164" s="102">
        <v>8.07</v>
      </c>
      <c r="B164" s="137" t="s">
        <v>221</v>
      </c>
      <c r="G164" s="114"/>
      <c r="L164" s="129">
        <f>G164</f>
        <v>0</v>
      </c>
      <c r="N164" s="135">
        <f>L164</f>
        <v>0</v>
      </c>
      <c r="O164" s="144" t="s">
        <v>2</v>
      </c>
      <c r="P164" s="78"/>
      <c r="Q164" s="78"/>
      <c r="R164" s="78"/>
      <c r="S164" s="78"/>
      <c r="T164" s="78"/>
      <c r="U164" s="78"/>
    </row>
    <row r="165" spans="1:21">
      <c r="A165" s="126"/>
      <c r="B165" s="142" t="s">
        <v>222</v>
      </c>
      <c r="L165" s="95">
        <f>N164/5.8</f>
        <v>0</v>
      </c>
      <c r="M165" s="95">
        <f t="shared" ref="M165" si="24">L165*10%</f>
        <v>0</v>
      </c>
      <c r="N165" s="110">
        <v>30</v>
      </c>
      <c r="O165" s="104" t="s">
        <v>23</v>
      </c>
      <c r="P165" s="78"/>
      <c r="Q165" s="78"/>
      <c r="R165" s="78"/>
      <c r="S165" s="78"/>
      <c r="T165" s="78"/>
      <c r="U165" s="78"/>
    </row>
    <row r="166" spans="1:21">
      <c r="A166" s="126" t="s">
        <v>202</v>
      </c>
      <c r="B166" s="137"/>
      <c r="N166" s="110"/>
      <c r="O166" s="104"/>
      <c r="P166" s="78"/>
      <c r="Q166" s="78"/>
      <c r="R166" s="78"/>
      <c r="S166" s="78"/>
      <c r="T166" s="78"/>
      <c r="U166" s="78"/>
    </row>
    <row r="167" spans="1:21">
      <c r="A167" s="98">
        <v>9</v>
      </c>
      <c r="B167" s="98" t="s">
        <v>129</v>
      </c>
      <c r="P167" s="78"/>
      <c r="Q167" s="78"/>
      <c r="R167" s="78"/>
      <c r="S167" s="78"/>
      <c r="T167" s="78"/>
      <c r="U167" s="78"/>
    </row>
    <row r="168" spans="1:21">
      <c r="A168" s="102">
        <v>9.01</v>
      </c>
      <c r="B168" s="70" t="s">
        <v>130</v>
      </c>
      <c r="I168" s="114"/>
      <c r="L168" s="129">
        <f>I168</f>
        <v>0</v>
      </c>
      <c r="N168" s="107">
        <f>L168</f>
        <v>0</v>
      </c>
      <c r="O168" s="100" t="s">
        <v>41</v>
      </c>
      <c r="P168" s="78"/>
      <c r="Q168" s="78"/>
      <c r="R168" s="78"/>
      <c r="S168" s="78"/>
      <c r="T168" s="78"/>
      <c r="U168" s="78"/>
    </row>
    <row r="169" spans="1:21">
      <c r="B169" s="69" t="s">
        <v>131</v>
      </c>
      <c r="C169" s="69">
        <f>2.4*1.2</f>
        <v>2.88</v>
      </c>
      <c r="D169" s="107">
        <v>11.5</v>
      </c>
      <c r="E169" s="108">
        <v>6.1</v>
      </c>
      <c r="I169" s="107">
        <f>E169*D169</f>
        <v>70.149999999999991</v>
      </c>
      <c r="L169" s="95">
        <f>D168/2.88</f>
        <v>0</v>
      </c>
      <c r="M169" s="95">
        <f>N169*0.1</f>
        <v>2.4357638888888888</v>
      </c>
      <c r="N169" s="110">
        <f>I169/C169</f>
        <v>24.357638888888886</v>
      </c>
      <c r="O169" s="104" t="s">
        <v>51</v>
      </c>
      <c r="P169" s="78"/>
      <c r="Q169" s="78"/>
      <c r="R169" s="78"/>
      <c r="S169" s="78"/>
      <c r="T169" s="78"/>
      <c r="U169" s="78"/>
    </row>
    <row r="170" spans="1:21">
      <c r="B170" s="69" t="s">
        <v>321</v>
      </c>
      <c r="L170" s="95">
        <f>E168/2.88</f>
        <v>0</v>
      </c>
      <c r="M170" s="95">
        <f>L170*10%</f>
        <v>0</v>
      </c>
      <c r="N170" s="110">
        <v>14</v>
      </c>
      <c r="O170" s="104" t="s">
        <v>51</v>
      </c>
      <c r="P170" s="78"/>
      <c r="Q170" s="78"/>
      <c r="R170" s="78"/>
      <c r="S170" s="78"/>
      <c r="T170" s="78"/>
      <c r="U170" s="78"/>
    </row>
    <row r="171" spans="1:21">
      <c r="A171" s="143" t="s">
        <v>202</v>
      </c>
      <c r="B171" s="142"/>
      <c r="P171" s="78"/>
      <c r="Q171" s="78"/>
      <c r="R171" s="78"/>
      <c r="S171" s="78"/>
      <c r="T171" s="78"/>
      <c r="U171" s="78"/>
    </row>
    <row r="172" spans="1:21">
      <c r="A172" s="102">
        <v>9.02</v>
      </c>
      <c r="B172" s="137" t="s">
        <v>322</v>
      </c>
      <c r="I172" s="114"/>
      <c r="L172" s="129">
        <f>I172</f>
        <v>0</v>
      </c>
      <c r="N172" s="107">
        <f>L172</f>
        <v>0</v>
      </c>
      <c r="O172" s="100" t="s">
        <v>41</v>
      </c>
      <c r="P172" s="78"/>
      <c r="Q172" s="78"/>
      <c r="R172" s="78"/>
      <c r="S172" s="78"/>
      <c r="T172" s="78"/>
      <c r="U172" s="78"/>
    </row>
    <row r="173" spans="1:21">
      <c r="B173" s="142" t="s">
        <v>223</v>
      </c>
      <c r="L173" s="95">
        <f>N172/2.88</f>
        <v>0</v>
      </c>
      <c r="M173" s="95">
        <f t="shared" ref="M173" si="25">L173*10%</f>
        <v>0</v>
      </c>
      <c r="N173" s="107">
        <v>2</v>
      </c>
      <c r="O173" s="100" t="s">
        <v>51</v>
      </c>
      <c r="P173" s="78"/>
      <c r="Q173" s="78"/>
      <c r="R173" s="78"/>
      <c r="S173" s="78"/>
      <c r="T173" s="78"/>
      <c r="U173" s="78"/>
    </row>
    <row r="174" spans="1:21">
      <c r="B174" s="142"/>
      <c r="P174" s="78"/>
      <c r="Q174" s="78"/>
      <c r="R174" s="78"/>
      <c r="S174" s="78"/>
      <c r="T174" s="78"/>
      <c r="U174" s="78"/>
    </row>
    <row r="175" spans="1:21">
      <c r="A175" s="98">
        <v>10</v>
      </c>
      <c r="B175" s="98" t="s">
        <v>132</v>
      </c>
      <c r="P175" s="78"/>
      <c r="Q175" s="78"/>
      <c r="R175" s="78"/>
      <c r="S175" s="78"/>
      <c r="T175" s="78"/>
      <c r="U175" s="78"/>
    </row>
    <row r="176" spans="1:21">
      <c r="A176" s="102">
        <v>10.01</v>
      </c>
      <c r="B176" s="137" t="s">
        <v>133</v>
      </c>
      <c r="I176" s="114"/>
      <c r="L176" s="129">
        <f>I176</f>
        <v>0</v>
      </c>
      <c r="N176" s="107">
        <f>L176</f>
        <v>0</v>
      </c>
      <c r="O176" s="100" t="s">
        <v>41</v>
      </c>
      <c r="P176" s="78"/>
      <c r="Q176" s="78"/>
      <c r="R176" s="78"/>
      <c r="S176" s="78"/>
      <c r="T176" s="78"/>
      <c r="U176" s="78"/>
    </row>
    <row r="177" spans="1:21">
      <c r="B177" s="69" t="s">
        <v>224</v>
      </c>
      <c r="C177" s="69">
        <f>0.3*0.3</f>
        <v>0.09</v>
      </c>
      <c r="D177" s="107">
        <v>11.5</v>
      </c>
      <c r="E177" s="108">
        <v>6.1</v>
      </c>
      <c r="I177" s="107">
        <f>E177*D177</f>
        <v>70.149999999999991</v>
      </c>
      <c r="J177" s="69">
        <f>I177/C177</f>
        <v>779.44444444444434</v>
      </c>
      <c r="L177" s="95">
        <f>N176/0.09</f>
        <v>0</v>
      </c>
      <c r="M177" s="95">
        <f>N177*0.1</f>
        <v>1.7320987654320985</v>
      </c>
      <c r="N177" s="110">
        <f>J177/45</f>
        <v>17.320987654320984</v>
      </c>
      <c r="O177" s="104" t="s">
        <v>25</v>
      </c>
      <c r="P177" s="78"/>
      <c r="Q177" s="78"/>
      <c r="R177" s="78"/>
      <c r="S177" s="78"/>
      <c r="T177" s="78"/>
      <c r="U177" s="78"/>
    </row>
    <row r="178" spans="1:21">
      <c r="A178" s="143" t="s">
        <v>202</v>
      </c>
      <c r="B178" s="69"/>
      <c r="P178" s="81"/>
      <c r="Q178" s="81"/>
      <c r="R178" s="81"/>
      <c r="S178" s="81"/>
      <c r="T178" s="81"/>
      <c r="U178" s="81"/>
    </row>
    <row r="179" spans="1:21">
      <c r="A179" s="102">
        <v>10.02</v>
      </c>
      <c r="B179" s="70" t="s">
        <v>134</v>
      </c>
      <c r="I179" s="114"/>
      <c r="L179" s="129">
        <f>I179</f>
        <v>0</v>
      </c>
      <c r="N179" s="107">
        <f>L179</f>
        <v>0</v>
      </c>
      <c r="O179" s="100" t="s">
        <v>25</v>
      </c>
      <c r="P179" s="78"/>
      <c r="Q179" s="78"/>
      <c r="R179" s="78"/>
      <c r="S179" s="78"/>
      <c r="T179" s="78"/>
      <c r="U179" s="78"/>
    </row>
    <row r="180" spans="1:21">
      <c r="A180" s="128" t="s">
        <v>202</v>
      </c>
      <c r="B180" s="108" t="s">
        <v>236</v>
      </c>
      <c r="L180" s="95">
        <f>N179/17</f>
        <v>0</v>
      </c>
      <c r="N180" s="110">
        <v>8</v>
      </c>
      <c r="O180" s="109" t="s">
        <v>25</v>
      </c>
    </row>
    <row r="181" spans="1:21">
      <c r="B181" s="108"/>
      <c r="N181" s="110"/>
      <c r="O181" s="109"/>
    </row>
    <row r="182" spans="1:21">
      <c r="A182" s="102">
        <v>10.029999999999999</v>
      </c>
      <c r="B182" s="145" t="s">
        <v>225</v>
      </c>
      <c r="I182" s="114"/>
      <c r="L182" s="129">
        <f>I182*C182</f>
        <v>0</v>
      </c>
      <c r="N182" s="135">
        <f>L182</f>
        <v>0</v>
      </c>
      <c r="O182" s="146" t="s">
        <v>41</v>
      </c>
    </row>
    <row r="183" spans="1:21">
      <c r="B183" s="108" t="s">
        <v>226</v>
      </c>
      <c r="L183" s="95">
        <f>N182/64</f>
        <v>0</v>
      </c>
      <c r="N183" s="110">
        <f>L183</f>
        <v>0</v>
      </c>
      <c r="O183" s="109" t="s">
        <v>25</v>
      </c>
    </row>
    <row r="184" spans="1:21">
      <c r="A184" s="128" t="s">
        <v>202</v>
      </c>
      <c r="B184" s="108"/>
      <c r="N184" s="110"/>
      <c r="O184" s="109"/>
    </row>
    <row r="185" spans="1:21">
      <c r="A185" s="102">
        <v>10.039999999999999</v>
      </c>
      <c r="B185" s="145" t="s">
        <v>227</v>
      </c>
      <c r="C185" s="134"/>
      <c r="L185" s="129">
        <f>C185</f>
        <v>0</v>
      </c>
      <c r="N185" s="135">
        <v>4</v>
      </c>
      <c r="O185" s="146" t="s">
        <v>25</v>
      </c>
    </row>
    <row r="186" spans="1:21">
      <c r="A186" s="102"/>
      <c r="B186" s="145"/>
      <c r="N186" s="110">
        <f>N185</f>
        <v>4</v>
      </c>
      <c r="O186" s="109" t="s">
        <v>25</v>
      </c>
    </row>
    <row r="187" spans="1:21">
      <c r="A187" s="126" t="s">
        <v>202</v>
      </c>
      <c r="B187" s="145"/>
      <c r="N187" s="110"/>
      <c r="O187" s="109"/>
    </row>
    <row r="188" spans="1:21">
      <c r="A188" s="102">
        <v>10.050000000000001</v>
      </c>
      <c r="B188" s="145" t="s">
        <v>145</v>
      </c>
      <c r="C188" s="134"/>
      <c r="L188" s="129">
        <f>C188</f>
        <v>0</v>
      </c>
      <c r="N188" s="135">
        <v>10</v>
      </c>
      <c r="O188" s="146" t="s">
        <v>4</v>
      </c>
    </row>
    <row r="189" spans="1:21">
      <c r="A189" s="102"/>
      <c r="B189" s="145"/>
      <c r="N189" s="110">
        <f>N188</f>
        <v>10</v>
      </c>
      <c r="O189" s="109" t="s">
        <v>4</v>
      </c>
    </row>
    <row r="190" spans="1:21">
      <c r="A190" s="126" t="s">
        <v>202</v>
      </c>
      <c r="B190" s="145"/>
      <c r="N190" s="110"/>
      <c r="O190" s="109"/>
      <c r="P190" s="70"/>
      <c r="Q190" s="70"/>
      <c r="R190" s="70"/>
      <c r="S190" s="70"/>
      <c r="T190" s="70"/>
      <c r="U190" s="70"/>
    </row>
    <row r="191" spans="1:21">
      <c r="A191" s="102">
        <v>10.06</v>
      </c>
      <c r="B191" s="145" t="s">
        <v>233</v>
      </c>
      <c r="I191" s="114"/>
      <c r="L191" s="129">
        <f>I191</f>
        <v>0</v>
      </c>
      <c r="N191" s="135">
        <f>L191</f>
        <v>0</v>
      </c>
      <c r="O191" s="146" t="s">
        <v>41</v>
      </c>
    </row>
    <row r="192" spans="1:21">
      <c r="A192" s="102"/>
      <c r="B192" s="136" t="s">
        <v>228</v>
      </c>
      <c r="C192" s="69">
        <v>2</v>
      </c>
      <c r="D192" s="107">
        <f>1.9*2.025</f>
        <v>3.8474999999999997</v>
      </c>
      <c r="E192" s="108">
        <f>0.3*0.3</f>
        <v>0.09</v>
      </c>
      <c r="I192" s="107">
        <f>D192*C192</f>
        <v>7.6949999999999994</v>
      </c>
      <c r="J192" s="69">
        <f>I192/E192</f>
        <v>85.5</v>
      </c>
      <c r="L192" s="95">
        <f>N191/0.09</f>
        <v>0</v>
      </c>
      <c r="N192" s="130">
        <f>J192/27</f>
        <v>3.1666666666666665</v>
      </c>
      <c r="O192" s="147" t="s">
        <v>25</v>
      </c>
    </row>
    <row r="193" spans="1:15">
      <c r="A193" s="126" t="s">
        <v>202</v>
      </c>
      <c r="B193" s="136"/>
      <c r="N193" s="135"/>
      <c r="O193" s="146"/>
    </row>
    <row r="194" spans="1:15">
      <c r="A194" s="102">
        <v>10.07</v>
      </c>
      <c r="B194" s="145" t="s">
        <v>229</v>
      </c>
      <c r="I194" s="114"/>
      <c r="L194" s="129">
        <f>I194</f>
        <v>0</v>
      </c>
      <c r="N194" s="135">
        <f>L194</f>
        <v>0</v>
      </c>
      <c r="O194" s="146" t="s">
        <v>41</v>
      </c>
    </row>
    <row r="195" spans="1:15">
      <c r="A195" s="102"/>
      <c r="B195" s="136" t="s">
        <v>230</v>
      </c>
      <c r="C195" s="69">
        <v>4</v>
      </c>
      <c r="D195" s="107">
        <f>1.6*1.2</f>
        <v>1.92</v>
      </c>
      <c r="E195" s="108">
        <f>1.6*2.1</f>
        <v>3.3600000000000003</v>
      </c>
      <c r="F195" s="107">
        <f>0.15*0.15</f>
        <v>2.2499999999999999E-2</v>
      </c>
      <c r="I195" s="107">
        <f>E195*C195+D195*C195</f>
        <v>21.12</v>
      </c>
      <c r="J195" s="69">
        <f>I195/F195</f>
        <v>938.66666666666674</v>
      </c>
      <c r="L195" s="95">
        <f>N194/0.023</f>
        <v>0</v>
      </c>
      <c r="N195" s="130">
        <f>J195/44</f>
        <v>21.333333333333336</v>
      </c>
      <c r="O195" s="147" t="s">
        <v>25</v>
      </c>
    </row>
    <row r="196" spans="1:15">
      <c r="A196" s="148" t="s">
        <v>202</v>
      </c>
      <c r="B196" s="136"/>
      <c r="N196" s="135"/>
      <c r="O196" s="146"/>
    </row>
    <row r="197" spans="1:15">
      <c r="A197" s="102">
        <v>10.08</v>
      </c>
      <c r="B197" s="145" t="s">
        <v>231</v>
      </c>
      <c r="C197" s="134"/>
      <c r="L197" s="129">
        <f>C197</f>
        <v>0</v>
      </c>
      <c r="N197" s="135"/>
      <c r="O197" s="146" t="s">
        <v>5</v>
      </c>
    </row>
    <row r="198" spans="1:15">
      <c r="A198" s="102"/>
      <c r="B198" s="136"/>
      <c r="N198" s="130">
        <v>15</v>
      </c>
      <c r="O198" s="147" t="s">
        <v>5</v>
      </c>
    </row>
    <row r="199" spans="1:15">
      <c r="A199" s="126" t="s">
        <v>202</v>
      </c>
      <c r="B199" s="136"/>
      <c r="N199" s="135"/>
      <c r="O199" s="146"/>
    </row>
    <row r="200" spans="1:15">
      <c r="A200" s="102">
        <v>10.09</v>
      </c>
      <c r="B200" s="145" t="s">
        <v>232</v>
      </c>
      <c r="C200" s="134"/>
      <c r="L200" s="129">
        <f>C200</f>
        <v>0</v>
      </c>
      <c r="N200" s="135">
        <f>L200</f>
        <v>0</v>
      </c>
      <c r="O200" s="146" t="s">
        <v>5</v>
      </c>
    </row>
    <row r="201" spans="1:15">
      <c r="A201" s="126"/>
      <c r="B201" s="136"/>
      <c r="N201" s="130">
        <v>5</v>
      </c>
      <c r="O201" s="147" t="s">
        <v>5</v>
      </c>
    </row>
    <row r="202" spans="1:15">
      <c r="A202" s="126" t="s">
        <v>202</v>
      </c>
      <c r="B202" s="136"/>
      <c r="N202" s="135"/>
      <c r="O202" s="146"/>
    </row>
    <row r="203" spans="1:15">
      <c r="A203" s="98">
        <v>11</v>
      </c>
      <c r="B203" s="98" t="s">
        <v>135</v>
      </c>
    </row>
    <row r="204" spans="1:15">
      <c r="A204" s="102">
        <v>11.01</v>
      </c>
      <c r="B204" s="69" t="s">
        <v>136</v>
      </c>
      <c r="C204" s="134"/>
      <c r="L204" s="129">
        <f>C204</f>
        <v>0</v>
      </c>
      <c r="N204" s="110">
        <v>8</v>
      </c>
      <c r="O204" s="100" t="s">
        <v>4</v>
      </c>
    </row>
    <row r="205" spans="1:15">
      <c r="B205" s="69"/>
      <c r="N205" s="110"/>
    </row>
    <row r="206" spans="1:15">
      <c r="A206" s="102">
        <v>11.02</v>
      </c>
      <c r="B206" s="69" t="s">
        <v>325</v>
      </c>
      <c r="C206" s="134"/>
      <c r="L206" s="129">
        <f>C206</f>
        <v>0</v>
      </c>
      <c r="N206" s="110">
        <v>2</v>
      </c>
      <c r="O206" s="100" t="s">
        <v>4</v>
      </c>
    </row>
    <row r="207" spans="1:15">
      <c r="B207" s="69"/>
      <c r="N207" s="110"/>
    </row>
    <row r="208" spans="1:15">
      <c r="A208" s="102">
        <v>11.03</v>
      </c>
      <c r="B208" s="69" t="s">
        <v>137</v>
      </c>
      <c r="C208" s="134"/>
      <c r="L208" s="129">
        <f>C208</f>
        <v>0</v>
      </c>
      <c r="N208" s="110">
        <v>8</v>
      </c>
      <c r="O208" s="100" t="s">
        <v>4</v>
      </c>
    </row>
    <row r="209" spans="1:21">
      <c r="B209" s="108"/>
      <c r="N209" s="110"/>
      <c r="O209" s="117"/>
    </row>
    <row r="210" spans="1:21">
      <c r="A210" s="106">
        <v>11.04</v>
      </c>
      <c r="B210" s="108" t="s">
        <v>291</v>
      </c>
      <c r="N210" s="110">
        <v>14</v>
      </c>
      <c r="O210" s="117"/>
    </row>
    <row r="211" spans="1:21">
      <c r="B211" s="108"/>
      <c r="N211" s="110"/>
      <c r="O211" s="117"/>
    </row>
    <row r="212" spans="1:21">
      <c r="A212" s="102">
        <v>11.05</v>
      </c>
      <c r="B212" s="69" t="s">
        <v>234</v>
      </c>
      <c r="C212" s="134"/>
      <c r="L212" s="129">
        <f>C212</f>
        <v>0</v>
      </c>
      <c r="N212" s="110">
        <v>250</v>
      </c>
      <c r="O212" s="104" t="s">
        <v>4</v>
      </c>
    </row>
    <row r="213" spans="1:21">
      <c r="B213" s="69"/>
    </row>
    <row r="214" spans="1:21">
      <c r="A214" s="102">
        <v>11.06</v>
      </c>
      <c r="B214" s="69" t="s">
        <v>138</v>
      </c>
      <c r="C214" s="134"/>
      <c r="L214" s="129">
        <f>C214</f>
        <v>0</v>
      </c>
      <c r="N214" s="110">
        <v>9</v>
      </c>
      <c r="O214" s="104" t="s">
        <v>4</v>
      </c>
    </row>
    <row r="215" spans="1:21">
      <c r="B215" s="69"/>
    </row>
    <row r="216" spans="1:21">
      <c r="A216" s="102">
        <v>11.07</v>
      </c>
      <c r="B216" s="69" t="s">
        <v>139</v>
      </c>
      <c r="C216" s="134"/>
      <c r="L216" s="129">
        <f>C216</f>
        <v>0</v>
      </c>
      <c r="N216" s="110">
        <v>2</v>
      </c>
      <c r="O216" s="104" t="s">
        <v>4</v>
      </c>
    </row>
    <row r="217" spans="1:21">
      <c r="B217" s="108"/>
      <c r="O217" s="117"/>
    </row>
    <row r="218" spans="1:21">
      <c r="A218" s="102">
        <v>11.08</v>
      </c>
      <c r="B218" s="69" t="s">
        <v>235</v>
      </c>
      <c r="C218" s="134"/>
      <c r="L218" s="129">
        <f>C218</f>
        <v>0</v>
      </c>
      <c r="N218" s="110">
        <v>5</v>
      </c>
      <c r="O218" s="104" t="s">
        <v>4</v>
      </c>
    </row>
    <row r="219" spans="1:21">
      <c r="A219" s="102"/>
      <c r="B219" s="69"/>
      <c r="N219" s="110"/>
      <c r="O219" s="104"/>
    </row>
    <row r="220" spans="1:21">
      <c r="A220" s="102">
        <v>11.09</v>
      </c>
      <c r="B220" s="149" t="s">
        <v>284</v>
      </c>
      <c r="C220" s="134"/>
      <c r="L220" s="129">
        <f>C220</f>
        <v>0</v>
      </c>
      <c r="N220" s="110">
        <v>8</v>
      </c>
      <c r="O220" s="104" t="s">
        <v>51</v>
      </c>
    </row>
    <row r="221" spans="1:21">
      <c r="A221" s="102"/>
      <c r="B221" s="69"/>
      <c r="N221" s="110"/>
      <c r="O221" s="104"/>
    </row>
    <row r="222" spans="1:21">
      <c r="A222" s="128" t="s">
        <v>202</v>
      </c>
      <c r="B222" s="69"/>
      <c r="P222" s="70"/>
      <c r="Q222" s="70"/>
      <c r="R222" s="70"/>
      <c r="S222" s="70"/>
      <c r="T222" s="70"/>
      <c r="U222" s="70"/>
    </row>
    <row r="223" spans="1:21">
      <c r="A223" s="128"/>
      <c r="B223" s="69"/>
    </row>
    <row r="224" spans="1:21">
      <c r="A224" s="98">
        <v>12</v>
      </c>
      <c r="B224" s="150" t="s">
        <v>140</v>
      </c>
      <c r="D224" s="107" t="s">
        <v>301</v>
      </c>
      <c r="E224" s="108" t="s">
        <v>302</v>
      </c>
      <c r="F224" s="107" t="s">
        <v>303</v>
      </c>
      <c r="G224" s="151" t="s">
        <v>304</v>
      </c>
      <c r="I224" s="114"/>
      <c r="L224" s="129">
        <f>I224</f>
        <v>0</v>
      </c>
      <c r="N224" s="110"/>
      <c r="O224" s="104" t="s">
        <v>41</v>
      </c>
    </row>
    <row r="225" spans="1:21">
      <c r="A225" s="102">
        <v>12.01</v>
      </c>
      <c r="B225" s="69" t="s">
        <v>141</v>
      </c>
      <c r="C225" s="69">
        <v>3</v>
      </c>
      <c r="D225" s="107">
        <f>11.45*3.2*4+6.1*3.2*4</f>
        <v>224.64</v>
      </c>
      <c r="E225" s="108">
        <f>11.45*6.1</f>
        <v>69.844999999999985</v>
      </c>
      <c r="F225" s="107">
        <f>3.75*3.2*4+3.05*3.2*4+2.025*3.2*4+2.2*3.2*2+3.1*3.2*2+3.275*3.2*2</f>
        <v>167.84</v>
      </c>
      <c r="G225" s="107">
        <f>0.3*6*24+0.4*6*8</f>
        <v>62.4</v>
      </c>
      <c r="H225" s="69">
        <f>4*16</f>
        <v>64</v>
      </c>
      <c r="I225" s="107">
        <f>F225*C225+E225*C225+D225*C225+G225*C225</f>
        <v>1574.175</v>
      </c>
      <c r="L225" s="152" t="e">
        <f>G224/24</f>
        <v>#VALUE!</v>
      </c>
      <c r="M225" s="95">
        <f>N225*0.1</f>
        <v>2.4596484375000003</v>
      </c>
      <c r="N225" s="110">
        <f>I225/H225</f>
        <v>24.596484374999999</v>
      </c>
      <c r="O225" s="104" t="s">
        <v>298</v>
      </c>
    </row>
    <row r="226" spans="1:21">
      <c r="A226" s="102">
        <v>12.02</v>
      </c>
      <c r="B226" s="69" t="s">
        <v>142</v>
      </c>
      <c r="C226" s="69">
        <v>3</v>
      </c>
      <c r="D226" s="107">
        <f t="shared" ref="D226:D228" si="26">11.45*3.2*4+6.1*3.2*4</f>
        <v>224.64</v>
      </c>
      <c r="E226" s="108">
        <f t="shared" ref="E226:E228" si="27">11.45*6.1</f>
        <v>69.844999999999985</v>
      </c>
      <c r="F226" s="107">
        <f t="shared" ref="F226:F228" si="28">3.75*3.2*4+3.05*3.2*4+2.025*3.2*4+2.2*3.2*2+3.1*3.2*2+3.275*3.2*2</f>
        <v>167.84</v>
      </c>
      <c r="G226" s="107">
        <f t="shared" ref="G226:G228" si="29">0.3*6*24+0.4*6*8</f>
        <v>62.4</v>
      </c>
      <c r="H226" s="69">
        <f t="shared" ref="H226:H228" si="30">4*16</f>
        <v>64</v>
      </c>
      <c r="I226" s="107">
        <f t="shared" ref="I226:I228" si="31">F226*C226+E226*C226+D226*C226+G226*C226</f>
        <v>1574.175</v>
      </c>
      <c r="L226" s="129">
        <f>N224/32</f>
        <v>0</v>
      </c>
      <c r="M226" s="95">
        <f t="shared" ref="M226:M228" si="32">N226*0.1</f>
        <v>2.4596484375000003</v>
      </c>
      <c r="N226" s="110">
        <f>I226/H226</f>
        <v>24.596484374999999</v>
      </c>
      <c r="O226" s="104" t="s">
        <v>25</v>
      </c>
      <c r="P226" s="70"/>
      <c r="Q226" s="70"/>
      <c r="R226" s="70"/>
      <c r="S226" s="70"/>
      <c r="T226" s="70"/>
      <c r="U226" s="70"/>
    </row>
    <row r="227" spans="1:21">
      <c r="A227" s="102">
        <v>12.03</v>
      </c>
      <c r="B227" s="108" t="s">
        <v>143</v>
      </c>
      <c r="C227" s="69">
        <v>3</v>
      </c>
      <c r="D227" s="107">
        <f t="shared" si="26"/>
        <v>224.64</v>
      </c>
      <c r="E227" s="108">
        <f t="shared" si="27"/>
        <v>69.844999999999985</v>
      </c>
      <c r="F227" s="107">
        <f t="shared" si="28"/>
        <v>167.84</v>
      </c>
      <c r="G227" s="107">
        <f t="shared" si="29"/>
        <v>62.4</v>
      </c>
      <c r="H227" s="69">
        <f t="shared" si="30"/>
        <v>64</v>
      </c>
      <c r="I227" s="107">
        <f t="shared" si="31"/>
        <v>1574.175</v>
      </c>
      <c r="L227" s="129">
        <f>N224/40</f>
        <v>0</v>
      </c>
      <c r="M227" s="95">
        <f t="shared" si="32"/>
        <v>2.4596484375000003</v>
      </c>
      <c r="N227" s="110">
        <f t="shared" ref="N227:N228" si="33">I227/H227</f>
        <v>24.596484374999999</v>
      </c>
      <c r="O227" s="109" t="s">
        <v>25</v>
      </c>
    </row>
    <row r="228" spans="1:21">
      <c r="A228" s="102">
        <v>12.04</v>
      </c>
      <c r="B228" s="108" t="s">
        <v>144</v>
      </c>
      <c r="C228" s="69">
        <v>2</v>
      </c>
      <c r="D228" s="107">
        <f t="shared" si="26"/>
        <v>224.64</v>
      </c>
      <c r="E228" s="108">
        <f t="shared" si="27"/>
        <v>69.844999999999985</v>
      </c>
      <c r="F228" s="107">
        <f t="shared" si="28"/>
        <v>167.84</v>
      </c>
      <c r="G228" s="107">
        <f t="shared" si="29"/>
        <v>62.4</v>
      </c>
      <c r="H228" s="69">
        <f t="shared" si="30"/>
        <v>64</v>
      </c>
      <c r="I228" s="107">
        <f t="shared" si="31"/>
        <v>1049.45</v>
      </c>
      <c r="L228" s="129">
        <f>N224/56</f>
        <v>0</v>
      </c>
      <c r="M228" s="95">
        <f t="shared" si="32"/>
        <v>1.6397656250000001</v>
      </c>
      <c r="N228" s="110">
        <f t="shared" si="33"/>
        <v>16.397656250000001</v>
      </c>
      <c r="O228" s="109" t="s">
        <v>25</v>
      </c>
    </row>
    <row r="229" spans="1:21">
      <c r="A229" s="102">
        <v>12.05</v>
      </c>
      <c r="B229" s="69" t="s">
        <v>145</v>
      </c>
      <c r="C229" s="134"/>
      <c r="L229" s="129">
        <f>C229</f>
        <v>0</v>
      </c>
      <c r="N229" s="110">
        <v>8</v>
      </c>
      <c r="O229" s="104" t="s">
        <v>4</v>
      </c>
    </row>
    <row r="230" spans="1:21">
      <c r="A230" s="102">
        <v>12.05</v>
      </c>
      <c r="B230" s="108" t="s">
        <v>146</v>
      </c>
      <c r="C230" s="134"/>
      <c r="L230" s="129">
        <f>C230</f>
        <v>0</v>
      </c>
      <c r="N230" s="110">
        <v>8</v>
      </c>
      <c r="O230" s="104" t="s">
        <v>4</v>
      </c>
      <c r="P230" s="70"/>
      <c r="Q230" s="70"/>
      <c r="R230" s="70"/>
      <c r="S230" s="70"/>
      <c r="T230" s="70"/>
      <c r="U230" s="70"/>
    </row>
    <row r="231" spans="1:21">
      <c r="A231" s="102">
        <v>12.06</v>
      </c>
      <c r="B231" s="108" t="s">
        <v>285</v>
      </c>
      <c r="C231" s="134"/>
      <c r="L231" s="129">
        <f>C231</f>
        <v>0</v>
      </c>
      <c r="N231" s="110">
        <v>8</v>
      </c>
      <c r="O231" s="104" t="s">
        <v>4</v>
      </c>
    </row>
    <row r="232" spans="1:21">
      <c r="A232" s="102">
        <v>12.07</v>
      </c>
      <c r="B232" s="69" t="s">
        <v>147</v>
      </c>
      <c r="C232" s="134"/>
      <c r="L232" s="129">
        <f>C232</f>
        <v>0</v>
      </c>
      <c r="N232" s="110">
        <v>8</v>
      </c>
      <c r="O232" s="104" t="s">
        <v>4</v>
      </c>
    </row>
    <row r="233" spans="1:21">
      <c r="A233" s="128" t="s">
        <v>202</v>
      </c>
      <c r="B233" s="69"/>
    </row>
    <row r="234" spans="1:21">
      <c r="A234" s="98">
        <v>13</v>
      </c>
      <c r="B234" s="150" t="s">
        <v>148</v>
      </c>
      <c r="P234" s="70"/>
      <c r="Q234" s="70"/>
      <c r="R234" s="70"/>
      <c r="S234" s="70"/>
      <c r="T234" s="70"/>
      <c r="U234" s="70"/>
    </row>
    <row r="235" spans="1:21">
      <c r="A235" s="102">
        <v>13.01</v>
      </c>
      <c r="B235" s="145" t="s">
        <v>280</v>
      </c>
      <c r="G235" s="114"/>
      <c r="L235" s="129"/>
      <c r="O235" s="100" t="s">
        <v>2</v>
      </c>
    </row>
    <row r="236" spans="1:21">
      <c r="B236" s="108"/>
      <c r="C236" s="69">
        <v>2</v>
      </c>
      <c r="D236" s="107">
        <v>12100</v>
      </c>
      <c r="E236" s="108">
        <v>800.8</v>
      </c>
      <c r="G236" s="114">
        <f>D236*C236/E236</f>
        <v>30.219780219780223</v>
      </c>
      <c r="L236" s="129">
        <f>G236</f>
        <v>30.219780219780223</v>
      </c>
      <c r="M236" s="95">
        <f t="shared" ref="M236" si="34">N236*0.1</f>
        <v>3.0219780219780223</v>
      </c>
      <c r="N236" s="110">
        <f>L236</f>
        <v>30.219780219780223</v>
      </c>
      <c r="O236" s="104" t="s">
        <v>51</v>
      </c>
    </row>
    <row r="237" spans="1:21">
      <c r="A237" s="128" t="s">
        <v>202</v>
      </c>
      <c r="B237" s="108"/>
    </row>
    <row r="238" spans="1:21">
      <c r="A238" s="102">
        <v>13.02</v>
      </c>
      <c r="B238" s="145" t="s">
        <v>328</v>
      </c>
      <c r="I238" s="114"/>
      <c r="L238" s="129">
        <f>I238</f>
        <v>0</v>
      </c>
      <c r="N238" s="107">
        <f>L238</f>
        <v>0</v>
      </c>
      <c r="O238" s="100" t="s">
        <v>41</v>
      </c>
      <c r="P238" s="125"/>
      <c r="Q238" s="125"/>
      <c r="R238" s="125"/>
      <c r="S238" s="125"/>
      <c r="T238" s="125"/>
      <c r="U238" s="125"/>
    </row>
    <row r="239" spans="1:21">
      <c r="B239" s="108"/>
      <c r="L239" s="95">
        <f>N238/51</f>
        <v>0</v>
      </c>
      <c r="M239" s="95">
        <f>L239*10%</f>
        <v>0</v>
      </c>
      <c r="N239" s="110">
        <v>4</v>
      </c>
      <c r="O239" s="104" t="s">
        <v>8</v>
      </c>
      <c r="P239" s="120"/>
      <c r="Q239" s="120"/>
      <c r="R239" s="120"/>
      <c r="S239" s="120"/>
      <c r="T239" s="120"/>
      <c r="U239" s="120"/>
    </row>
    <row r="240" spans="1:21">
      <c r="A240" s="128" t="s">
        <v>202</v>
      </c>
      <c r="B240" s="108"/>
      <c r="O240" s="117"/>
      <c r="P240" s="78"/>
      <c r="Q240" s="78"/>
      <c r="R240" s="78"/>
      <c r="S240" s="78"/>
      <c r="T240" s="78"/>
      <c r="U240" s="78"/>
    </row>
    <row r="241" spans="1:21">
      <c r="A241" s="102">
        <v>13.03</v>
      </c>
      <c r="B241" s="145" t="s">
        <v>149</v>
      </c>
      <c r="I241" s="114"/>
      <c r="L241" s="129">
        <f>I241</f>
        <v>0</v>
      </c>
      <c r="N241" s="107">
        <f>L241</f>
        <v>0</v>
      </c>
      <c r="O241" s="117" t="s">
        <v>41</v>
      </c>
      <c r="P241" s="78"/>
      <c r="Q241" s="78"/>
      <c r="R241" s="78"/>
      <c r="S241" s="78"/>
      <c r="T241" s="78"/>
      <c r="U241" s="78"/>
    </row>
    <row r="242" spans="1:21">
      <c r="B242" s="108"/>
      <c r="L242" s="95">
        <f>N241/54</f>
        <v>0</v>
      </c>
      <c r="M242" s="95">
        <f t="shared" ref="M242" si="35">L242*10%</f>
        <v>0</v>
      </c>
      <c r="N242" s="110">
        <v>4</v>
      </c>
      <c r="O242" s="109" t="s">
        <v>8</v>
      </c>
      <c r="P242" s="78"/>
      <c r="Q242" s="78"/>
      <c r="R242" s="78"/>
      <c r="S242" s="78"/>
      <c r="T242" s="78"/>
      <c r="U242" s="78"/>
    </row>
    <row r="243" spans="1:21">
      <c r="A243" s="128" t="s">
        <v>202</v>
      </c>
      <c r="B243" s="108"/>
      <c r="O243" s="117"/>
      <c r="P243" s="78"/>
      <c r="Q243" s="78"/>
      <c r="R243" s="78"/>
      <c r="S243" s="78"/>
      <c r="T243" s="78"/>
      <c r="U243" s="78"/>
    </row>
    <row r="244" spans="1:21">
      <c r="A244" s="102">
        <v>13.04</v>
      </c>
      <c r="B244" s="145" t="s">
        <v>150</v>
      </c>
      <c r="G244" s="114"/>
      <c r="L244" s="129">
        <f>G244</f>
        <v>0</v>
      </c>
      <c r="N244" s="107">
        <f>L244</f>
        <v>0</v>
      </c>
      <c r="O244" s="117" t="s">
        <v>2</v>
      </c>
      <c r="P244" s="78"/>
      <c r="Q244" s="78"/>
      <c r="R244" s="78"/>
      <c r="S244" s="78"/>
      <c r="T244" s="78"/>
      <c r="U244" s="78"/>
    </row>
    <row r="245" spans="1:21">
      <c r="B245" s="108"/>
      <c r="D245" s="107">
        <v>12100</v>
      </c>
      <c r="E245" s="108">
        <v>2000</v>
      </c>
      <c r="L245" s="95">
        <f>N244/2.4</f>
        <v>0</v>
      </c>
      <c r="M245" s="95">
        <f>N245*0.1</f>
        <v>0.60499999999999998</v>
      </c>
      <c r="N245" s="110">
        <f>D245/E245</f>
        <v>6.05</v>
      </c>
      <c r="O245" s="109" t="s">
        <v>51</v>
      </c>
      <c r="P245" s="78"/>
      <c r="Q245" s="78"/>
      <c r="R245" s="78"/>
      <c r="S245" s="78"/>
      <c r="T245" s="78"/>
      <c r="U245" s="78"/>
    </row>
    <row r="246" spans="1:21">
      <c r="A246" s="128" t="s">
        <v>202</v>
      </c>
      <c r="B246" s="108"/>
      <c r="O246" s="117"/>
      <c r="P246" s="78"/>
      <c r="Q246" s="78"/>
      <c r="R246" s="78"/>
      <c r="S246" s="78"/>
      <c r="T246" s="78"/>
      <c r="U246" s="78"/>
    </row>
    <row r="247" spans="1:21">
      <c r="A247" s="102">
        <v>13.05</v>
      </c>
      <c r="B247" s="145" t="s">
        <v>151</v>
      </c>
      <c r="G247" s="114"/>
      <c r="L247" s="129">
        <f>G247</f>
        <v>0</v>
      </c>
      <c r="N247" s="107">
        <f>L247</f>
        <v>0</v>
      </c>
      <c r="O247" s="100" t="s">
        <v>2</v>
      </c>
      <c r="P247" s="78"/>
      <c r="Q247" s="78"/>
      <c r="R247" s="78"/>
      <c r="S247" s="78"/>
      <c r="T247" s="78"/>
      <c r="U247" s="78"/>
    </row>
    <row r="248" spans="1:21">
      <c r="B248" s="108"/>
      <c r="L248" s="95">
        <f>N247/2.3</f>
        <v>0</v>
      </c>
      <c r="M248" s="95">
        <f>N248*0.1</f>
        <v>1</v>
      </c>
      <c r="N248" s="110">
        <v>10</v>
      </c>
      <c r="O248" s="104" t="s">
        <v>51</v>
      </c>
      <c r="P248" s="78"/>
      <c r="Q248" s="78"/>
      <c r="R248" s="78"/>
      <c r="S248" s="78"/>
      <c r="T248" s="78"/>
      <c r="U248" s="78"/>
    </row>
    <row r="249" spans="1:21">
      <c r="A249" s="128" t="s">
        <v>202</v>
      </c>
      <c r="B249" s="69"/>
      <c r="P249" s="78"/>
      <c r="Q249" s="78"/>
      <c r="R249" s="78"/>
      <c r="S249" s="78"/>
      <c r="T249" s="78"/>
      <c r="U249" s="78"/>
    </row>
    <row r="250" spans="1:21">
      <c r="A250" s="102">
        <v>13.06</v>
      </c>
      <c r="B250" s="145" t="s">
        <v>152</v>
      </c>
      <c r="G250" s="114"/>
      <c r="L250" s="129">
        <f>G250</f>
        <v>0</v>
      </c>
      <c r="N250" s="107">
        <f>L250</f>
        <v>0</v>
      </c>
      <c r="O250" s="100" t="s">
        <v>2</v>
      </c>
      <c r="P250" s="78"/>
      <c r="Q250" s="78"/>
      <c r="R250" s="78"/>
      <c r="S250" s="78"/>
      <c r="T250" s="78"/>
      <c r="U250" s="78"/>
    </row>
    <row r="251" spans="1:21">
      <c r="B251" s="108"/>
      <c r="C251" s="69">
        <v>2</v>
      </c>
      <c r="D251" s="107">
        <v>12100</v>
      </c>
      <c r="E251" s="108">
        <v>2000</v>
      </c>
      <c r="G251" s="107">
        <f>D251*C251/E251</f>
        <v>12.1</v>
      </c>
      <c r="L251" s="95">
        <f>N250/2.4</f>
        <v>0</v>
      </c>
      <c r="M251" s="95">
        <f>N251*0.1</f>
        <v>1.21</v>
      </c>
      <c r="N251" s="110">
        <v>12.1</v>
      </c>
      <c r="O251" s="104" t="s">
        <v>51</v>
      </c>
      <c r="P251" s="78"/>
      <c r="Q251" s="78"/>
      <c r="R251" s="78"/>
      <c r="S251" s="78"/>
      <c r="T251" s="78"/>
      <c r="U251" s="78"/>
    </row>
    <row r="252" spans="1:21">
      <c r="B252" s="108"/>
      <c r="P252" s="78"/>
      <c r="Q252" s="78"/>
      <c r="R252" s="78"/>
      <c r="S252" s="78"/>
      <c r="T252" s="78"/>
      <c r="U252" s="78"/>
    </row>
    <row r="253" spans="1:21">
      <c r="A253" s="102">
        <v>13.07</v>
      </c>
      <c r="B253" s="145" t="s">
        <v>153</v>
      </c>
      <c r="G253" s="114"/>
      <c r="L253" s="129">
        <f>G253</f>
        <v>0</v>
      </c>
      <c r="N253" s="107">
        <f>L253</f>
        <v>0</v>
      </c>
      <c r="O253" s="100" t="s">
        <v>2</v>
      </c>
    </row>
    <row r="254" spans="1:21">
      <c r="B254" s="108"/>
      <c r="C254" s="69">
        <v>2</v>
      </c>
      <c r="L254" s="95">
        <f>N253/2.4</f>
        <v>0</v>
      </c>
      <c r="N254" s="110">
        <v>40</v>
      </c>
      <c r="O254" s="104" t="s">
        <v>4</v>
      </c>
    </row>
    <row r="255" spans="1:21">
      <c r="B255" s="108"/>
    </row>
    <row r="256" spans="1:21">
      <c r="A256" s="102">
        <v>13.08</v>
      </c>
      <c r="B256" s="145" t="s">
        <v>154</v>
      </c>
      <c r="C256" s="134"/>
      <c r="L256" s="129">
        <f t="shared" ref="L256:L291" si="36">C256</f>
        <v>0</v>
      </c>
      <c r="N256" s="130">
        <v>10</v>
      </c>
      <c r="O256" s="131" t="s">
        <v>23</v>
      </c>
    </row>
    <row r="257" spans="1:15">
      <c r="A257" s="102">
        <v>13.09</v>
      </c>
      <c r="B257" s="145" t="s">
        <v>237</v>
      </c>
      <c r="C257" s="134"/>
      <c r="L257" s="129">
        <f t="shared" si="36"/>
        <v>0</v>
      </c>
      <c r="N257" s="130">
        <v>5</v>
      </c>
      <c r="O257" s="131" t="s">
        <v>4</v>
      </c>
    </row>
    <row r="258" spans="1:15">
      <c r="A258" s="102">
        <v>13.1</v>
      </c>
      <c r="B258" s="145" t="s">
        <v>155</v>
      </c>
      <c r="C258" s="134"/>
      <c r="L258" s="129">
        <f t="shared" si="36"/>
        <v>0</v>
      </c>
      <c r="N258" s="130">
        <v>3</v>
      </c>
      <c r="O258" s="131" t="s">
        <v>4</v>
      </c>
    </row>
    <row r="259" spans="1:15">
      <c r="A259" s="102">
        <v>13.11</v>
      </c>
      <c r="B259" s="145" t="s">
        <v>160</v>
      </c>
      <c r="C259" s="134"/>
      <c r="L259" s="129">
        <f t="shared" si="36"/>
        <v>0</v>
      </c>
      <c r="N259" s="130">
        <v>8</v>
      </c>
      <c r="O259" s="131" t="s">
        <v>4</v>
      </c>
    </row>
    <row r="260" spans="1:15">
      <c r="A260" s="102">
        <v>13.12</v>
      </c>
      <c r="B260" s="145" t="s">
        <v>238</v>
      </c>
      <c r="C260" s="134"/>
      <c r="L260" s="129">
        <f t="shared" si="36"/>
        <v>0</v>
      </c>
      <c r="N260" s="130">
        <v>12</v>
      </c>
      <c r="O260" s="131" t="s">
        <v>4</v>
      </c>
    </row>
    <row r="261" spans="1:15">
      <c r="A261" s="102">
        <v>13.13</v>
      </c>
      <c r="B261" s="145" t="s">
        <v>239</v>
      </c>
      <c r="C261" s="134"/>
      <c r="L261" s="129">
        <f t="shared" si="36"/>
        <v>0</v>
      </c>
      <c r="N261" s="130">
        <v>4</v>
      </c>
      <c r="O261" s="131" t="s">
        <v>4</v>
      </c>
    </row>
    <row r="262" spans="1:15">
      <c r="A262" s="102">
        <v>13.14</v>
      </c>
      <c r="B262" s="145" t="s">
        <v>240</v>
      </c>
      <c r="C262" s="134"/>
      <c r="L262" s="129">
        <f t="shared" si="36"/>
        <v>0</v>
      </c>
      <c r="N262" s="130">
        <v>12</v>
      </c>
      <c r="O262" s="131" t="s">
        <v>4</v>
      </c>
    </row>
    <row r="263" spans="1:15">
      <c r="A263" s="102">
        <v>13.15</v>
      </c>
      <c r="B263" s="145" t="s">
        <v>241</v>
      </c>
      <c r="C263" s="134"/>
      <c r="L263" s="129">
        <f t="shared" si="36"/>
        <v>0</v>
      </c>
      <c r="N263" s="130">
        <v>2</v>
      </c>
      <c r="O263" s="131" t="s">
        <v>4</v>
      </c>
    </row>
    <row r="264" spans="1:15">
      <c r="A264" s="102">
        <v>13.16</v>
      </c>
      <c r="B264" s="145" t="s">
        <v>246</v>
      </c>
      <c r="C264" s="134"/>
      <c r="L264" s="129">
        <f t="shared" si="36"/>
        <v>0</v>
      </c>
      <c r="N264" s="130">
        <v>4</v>
      </c>
      <c r="O264" s="131" t="s">
        <v>4</v>
      </c>
    </row>
    <row r="265" spans="1:15">
      <c r="A265" s="102">
        <v>13.17</v>
      </c>
      <c r="B265" s="145" t="s">
        <v>281</v>
      </c>
      <c r="C265" s="134"/>
      <c r="L265" s="129">
        <f t="shared" si="36"/>
        <v>0</v>
      </c>
      <c r="N265" s="130">
        <v>10</v>
      </c>
      <c r="O265" s="131" t="s">
        <v>4</v>
      </c>
    </row>
    <row r="266" spans="1:15">
      <c r="A266" s="102">
        <v>13.18</v>
      </c>
      <c r="B266" s="145" t="s">
        <v>250</v>
      </c>
      <c r="C266" s="134"/>
      <c r="L266" s="129">
        <f t="shared" si="36"/>
        <v>0</v>
      </c>
      <c r="N266" s="130">
        <v>2</v>
      </c>
      <c r="O266" s="131" t="s">
        <v>4</v>
      </c>
    </row>
    <row r="267" spans="1:15">
      <c r="A267" s="102">
        <v>13.19</v>
      </c>
      <c r="B267" s="145" t="s">
        <v>242</v>
      </c>
      <c r="C267" s="134"/>
      <c r="L267" s="129">
        <f t="shared" si="36"/>
        <v>0</v>
      </c>
      <c r="N267" s="130">
        <v>12</v>
      </c>
      <c r="O267" s="131" t="s">
        <v>4</v>
      </c>
    </row>
    <row r="268" spans="1:15">
      <c r="A268" s="102">
        <v>13.2</v>
      </c>
      <c r="B268" s="145" t="s">
        <v>243</v>
      </c>
      <c r="C268" s="134"/>
      <c r="L268" s="129">
        <f t="shared" si="36"/>
        <v>0</v>
      </c>
      <c r="N268" s="130">
        <v>12</v>
      </c>
      <c r="O268" s="131" t="s">
        <v>4</v>
      </c>
    </row>
    <row r="269" spans="1:15">
      <c r="A269" s="102">
        <v>13.21</v>
      </c>
      <c r="B269" s="145" t="s">
        <v>244</v>
      </c>
      <c r="C269" s="134"/>
      <c r="L269" s="129">
        <f t="shared" si="36"/>
        <v>0</v>
      </c>
      <c r="N269" s="130">
        <v>20</v>
      </c>
      <c r="O269" s="131" t="s">
        <v>4</v>
      </c>
    </row>
    <row r="270" spans="1:15">
      <c r="A270" s="102">
        <v>13.22</v>
      </c>
      <c r="B270" s="145" t="s">
        <v>245</v>
      </c>
      <c r="C270" s="153"/>
      <c r="L270" s="129">
        <f t="shared" si="36"/>
        <v>0</v>
      </c>
      <c r="N270" s="130">
        <v>12</v>
      </c>
      <c r="O270" s="131" t="s">
        <v>4</v>
      </c>
    </row>
    <row r="271" spans="1:15">
      <c r="A271" s="102">
        <v>13.23</v>
      </c>
      <c r="B271" s="145" t="s">
        <v>247</v>
      </c>
      <c r="C271" s="134"/>
      <c r="L271" s="129">
        <f t="shared" si="36"/>
        <v>0</v>
      </c>
      <c r="N271" s="130">
        <v>6</v>
      </c>
      <c r="O271" s="131" t="s">
        <v>4</v>
      </c>
    </row>
    <row r="272" spans="1:15">
      <c r="A272" s="102">
        <v>13.24</v>
      </c>
      <c r="B272" s="145" t="s">
        <v>248</v>
      </c>
      <c r="C272" s="134"/>
      <c r="L272" s="129">
        <f t="shared" si="36"/>
        <v>0</v>
      </c>
      <c r="N272" s="130">
        <v>2</v>
      </c>
      <c r="O272" s="131" t="s">
        <v>4</v>
      </c>
    </row>
    <row r="273" spans="1:15">
      <c r="A273" s="102">
        <v>13.25</v>
      </c>
      <c r="B273" s="145" t="s">
        <v>249</v>
      </c>
      <c r="C273" s="134"/>
      <c r="L273" s="129">
        <f t="shared" si="36"/>
        <v>0</v>
      </c>
      <c r="N273" s="130">
        <v>8</v>
      </c>
      <c r="O273" s="131" t="s">
        <v>4</v>
      </c>
    </row>
    <row r="274" spans="1:15">
      <c r="A274" s="102">
        <v>13.26</v>
      </c>
      <c r="B274" s="145" t="s">
        <v>282</v>
      </c>
      <c r="C274" s="134"/>
      <c r="L274" s="129">
        <f t="shared" si="36"/>
        <v>0</v>
      </c>
      <c r="N274" s="130">
        <v>12</v>
      </c>
      <c r="O274" s="131" t="s">
        <v>4</v>
      </c>
    </row>
    <row r="275" spans="1:15">
      <c r="A275" s="102">
        <v>13.27</v>
      </c>
      <c r="B275" s="145" t="s">
        <v>283</v>
      </c>
      <c r="C275" s="134"/>
      <c r="L275" s="129">
        <f t="shared" si="36"/>
        <v>0</v>
      </c>
      <c r="N275" s="130">
        <v>12</v>
      </c>
      <c r="O275" s="131" t="s">
        <v>23</v>
      </c>
    </row>
    <row r="276" spans="1:15">
      <c r="A276" s="102">
        <v>13.28</v>
      </c>
      <c r="B276" s="145" t="s">
        <v>251</v>
      </c>
      <c r="C276" s="134"/>
      <c r="L276" s="129">
        <f t="shared" si="36"/>
        <v>0</v>
      </c>
      <c r="N276" s="130">
        <v>12</v>
      </c>
      <c r="O276" s="131" t="s">
        <v>4</v>
      </c>
    </row>
    <row r="277" spans="1:15">
      <c r="A277" s="102">
        <v>13.29</v>
      </c>
      <c r="B277" s="145" t="s">
        <v>252</v>
      </c>
      <c r="C277" s="134"/>
      <c r="L277" s="129">
        <f t="shared" si="36"/>
        <v>0</v>
      </c>
      <c r="N277" s="130">
        <v>36</v>
      </c>
      <c r="O277" s="131" t="s">
        <v>4</v>
      </c>
    </row>
    <row r="278" spans="1:15">
      <c r="A278" s="102">
        <v>13.3</v>
      </c>
      <c r="B278" s="145" t="s">
        <v>253</v>
      </c>
      <c r="C278" s="134"/>
      <c r="L278" s="129">
        <f t="shared" si="36"/>
        <v>0</v>
      </c>
      <c r="N278" s="130">
        <v>20</v>
      </c>
      <c r="O278" s="131" t="s">
        <v>4</v>
      </c>
    </row>
    <row r="279" spans="1:15">
      <c r="A279" s="102">
        <v>13.31</v>
      </c>
      <c r="B279" s="145" t="s">
        <v>254</v>
      </c>
      <c r="C279" s="134"/>
      <c r="L279" s="129">
        <f t="shared" si="36"/>
        <v>0</v>
      </c>
      <c r="N279" s="130">
        <v>20</v>
      </c>
      <c r="O279" s="131" t="s">
        <v>4</v>
      </c>
    </row>
    <row r="280" spans="1:15">
      <c r="A280" s="102">
        <v>13.32</v>
      </c>
      <c r="B280" s="145" t="s">
        <v>255</v>
      </c>
      <c r="C280" s="134"/>
      <c r="L280" s="129">
        <f t="shared" si="36"/>
        <v>0</v>
      </c>
      <c r="N280" s="130">
        <v>12</v>
      </c>
      <c r="O280" s="131" t="s">
        <v>4</v>
      </c>
    </row>
    <row r="281" spans="1:15">
      <c r="A281" s="102">
        <v>13.33</v>
      </c>
      <c r="B281" s="145" t="s">
        <v>256</v>
      </c>
      <c r="C281" s="134"/>
      <c r="L281" s="129">
        <f t="shared" si="36"/>
        <v>0</v>
      </c>
      <c r="N281" s="130">
        <v>15</v>
      </c>
      <c r="O281" s="131" t="s">
        <v>4</v>
      </c>
    </row>
    <row r="282" spans="1:15">
      <c r="A282" s="102">
        <v>13.34</v>
      </c>
      <c r="B282" s="145" t="s">
        <v>316</v>
      </c>
      <c r="C282" s="134"/>
      <c r="L282" s="129">
        <f t="shared" si="36"/>
        <v>0</v>
      </c>
      <c r="N282" s="130">
        <v>1</v>
      </c>
      <c r="O282" s="131" t="s">
        <v>4</v>
      </c>
    </row>
    <row r="283" spans="1:15">
      <c r="A283" s="102">
        <v>13.35</v>
      </c>
      <c r="B283" s="145" t="s">
        <v>257</v>
      </c>
      <c r="C283" s="134"/>
      <c r="L283" s="129">
        <f t="shared" si="36"/>
        <v>0</v>
      </c>
      <c r="N283" s="130">
        <v>15</v>
      </c>
      <c r="O283" s="131" t="s">
        <v>4</v>
      </c>
    </row>
    <row r="284" spans="1:15">
      <c r="A284" s="102">
        <v>13.36</v>
      </c>
      <c r="B284" s="145" t="s">
        <v>315</v>
      </c>
      <c r="C284" s="134"/>
      <c r="L284" s="129">
        <f t="shared" si="36"/>
        <v>0</v>
      </c>
      <c r="N284" s="130">
        <v>3</v>
      </c>
      <c r="O284" s="131" t="s">
        <v>4</v>
      </c>
    </row>
    <row r="285" spans="1:15">
      <c r="A285" s="102">
        <v>13.37</v>
      </c>
      <c r="B285" s="145" t="s">
        <v>258</v>
      </c>
      <c r="C285" s="134"/>
      <c r="L285" s="129">
        <f t="shared" si="36"/>
        <v>0</v>
      </c>
      <c r="N285" s="130">
        <v>8</v>
      </c>
      <c r="O285" s="131" t="s">
        <v>4</v>
      </c>
    </row>
    <row r="286" spans="1:15">
      <c r="A286" s="102">
        <v>13.38</v>
      </c>
      <c r="B286" s="145" t="s">
        <v>259</v>
      </c>
      <c r="C286" s="134"/>
      <c r="L286" s="129">
        <f t="shared" si="36"/>
        <v>0</v>
      </c>
      <c r="N286" s="130">
        <v>20</v>
      </c>
      <c r="O286" s="131" t="s">
        <v>4</v>
      </c>
    </row>
    <row r="287" spans="1:15">
      <c r="A287" s="102">
        <v>13.39</v>
      </c>
      <c r="B287" s="145" t="s">
        <v>260</v>
      </c>
      <c r="C287" s="134"/>
      <c r="L287" s="129">
        <f t="shared" si="36"/>
        <v>0</v>
      </c>
      <c r="N287" s="130">
        <v>2</v>
      </c>
      <c r="O287" s="131" t="s">
        <v>4</v>
      </c>
    </row>
    <row r="288" spans="1:15">
      <c r="A288" s="102">
        <v>13.4</v>
      </c>
      <c r="B288" s="145" t="s">
        <v>327</v>
      </c>
      <c r="C288" s="134"/>
      <c r="L288" s="129">
        <f t="shared" si="36"/>
        <v>0</v>
      </c>
      <c r="N288" s="130">
        <v>1</v>
      </c>
      <c r="O288" s="131" t="s">
        <v>4</v>
      </c>
    </row>
    <row r="289" spans="1:15">
      <c r="A289" s="102">
        <v>13.41</v>
      </c>
      <c r="B289" s="145" t="s">
        <v>261</v>
      </c>
      <c r="C289" s="134"/>
      <c r="L289" s="129">
        <f t="shared" si="36"/>
        <v>0</v>
      </c>
      <c r="N289" s="130">
        <v>10</v>
      </c>
      <c r="O289" s="131" t="s">
        <v>4</v>
      </c>
    </row>
    <row r="290" spans="1:15">
      <c r="A290" s="102">
        <v>13.42</v>
      </c>
      <c r="B290" s="145" t="s">
        <v>275</v>
      </c>
      <c r="C290" s="134"/>
      <c r="L290" s="129">
        <f t="shared" si="36"/>
        <v>0</v>
      </c>
      <c r="N290" s="130">
        <v>1</v>
      </c>
      <c r="O290" s="131" t="s">
        <v>4</v>
      </c>
    </row>
    <row r="291" spans="1:15">
      <c r="A291" s="102">
        <v>13.43</v>
      </c>
      <c r="B291" s="170" t="s">
        <v>318</v>
      </c>
      <c r="C291" s="134"/>
      <c r="L291" s="129">
        <f t="shared" si="36"/>
        <v>0</v>
      </c>
      <c r="N291" s="130">
        <v>1</v>
      </c>
      <c r="O291" s="131" t="s">
        <v>4</v>
      </c>
    </row>
    <row r="292" spans="1:15">
      <c r="B292" s="108"/>
    </row>
    <row r="293" spans="1:15">
      <c r="A293" s="98">
        <v>14</v>
      </c>
      <c r="B293" s="150" t="s">
        <v>156</v>
      </c>
    </row>
    <row r="294" spans="1:15">
      <c r="A294" s="102">
        <v>14.01</v>
      </c>
      <c r="B294" s="108" t="s">
        <v>157</v>
      </c>
      <c r="C294" s="134"/>
      <c r="L294" s="129">
        <f>C294</f>
        <v>0</v>
      </c>
      <c r="N294" s="107">
        <v>1</v>
      </c>
      <c r="O294" s="100" t="s">
        <v>4</v>
      </c>
    </row>
    <row r="295" spans="1:15">
      <c r="A295" s="102">
        <v>14.02</v>
      </c>
      <c r="B295" s="108" t="s">
        <v>158</v>
      </c>
      <c r="C295" s="134"/>
      <c r="L295" s="129">
        <f>C295</f>
        <v>0</v>
      </c>
      <c r="N295" s="107">
        <v>2</v>
      </c>
      <c r="O295" s="100" t="s">
        <v>4</v>
      </c>
    </row>
    <row r="296" spans="1:15">
      <c r="A296" s="102">
        <v>14.03</v>
      </c>
      <c r="B296" s="108" t="s">
        <v>159</v>
      </c>
      <c r="C296" s="134"/>
      <c r="L296" s="129">
        <f>C296</f>
        <v>0</v>
      </c>
      <c r="N296" s="107">
        <v>2</v>
      </c>
      <c r="O296" s="100" t="s">
        <v>4</v>
      </c>
    </row>
    <row r="297" spans="1:15">
      <c r="A297" s="102">
        <v>14.04</v>
      </c>
      <c r="B297" s="108" t="s">
        <v>161</v>
      </c>
      <c r="C297" s="134"/>
      <c r="L297" s="129">
        <f>C297</f>
        <v>0</v>
      </c>
      <c r="N297" s="107">
        <v>2</v>
      </c>
      <c r="O297" s="100" t="s">
        <v>4</v>
      </c>
    </row>
    <row r="298" spans="1:15">
      <c r="A298" s="102">
        <v>14.05</v>
      </c>
      <c r="B298" s="108" t="s">
        <v>162</v>
      </c>
      <c r="C298" s="134"/>
      <c r="L298" s="129">
        <f>C298</f>
        <v>0</v>
      </c>
      <c r="N298" s="107">
        <v>1</v>
      </c>
      <c r="O298" s="100" t="s">
        <v>2</v>
      </c>
    </row>
    <row r="299" spans="1:15">
      <c r="A299" s="102">
        <v>14.06</v>
      </c>
      <c r="B299" s="108" t="s">
        <v>163</v>
      </c>
      <c r="C299" s="134"/>
      <c r="L299" s="129">
        <v>2</v>
      </c>
      <c r="N299" s="107">
        <f t="shared" ref="N299" si="37">L299</f>
        <v>2</v>
      </c>
      <c r="O299" s="100" t="s">
        <v>8</v>
      </c>
    </row>
    <row r="300" spans="1:15">
      <c r="A300" s="102">
        <v>14.07</v>
      </c>
      <c r="B300" s="108" t="s">
        <v>164</v>
      </c>
      <c r="C300" s="134"/>
      <c r="L300" s="129">
        <f>C300</f>
        <v>0</v>
      </c>
      <c r="N300" s="107">
        <v>2</v>
      </c>
      <c r="O300" s="100" t="s">
        <v>8</v>
      </c>
    </row>
    <row r="301" spans="1:15">
      <c r="A301" s="102">
        <v>14.08</v>
      </c>
      <c r="B301" s="108" t="s">
        <v>165</v>
      </c>
      <c r="C301" s="134"/>
      <c r="L301" s="129">
        <f>C301</f>
        <v>0</v>
      </c>
      <c r="N301" s="107">
        <v>10</v>
      </c>
      <c r="O301" s="100" t="s">
        <v>4</v>
      </c>
    </row>
    <row r="302" spans="1:15">
      <c r="A302" s="102">
        <v>14.09</v>
      </c>
      <c r="B302" s="108" t="s">
        <v>166</v>
      </c>
      <c r="C302" s="134"/>
      <c r="L302" s="129">
        <f>C302</f>
        <v>0</v>
      </c>
      <c r="N302" s="107">
        <v>10</v>
      </c>
      <c r="O302" s="100" t="s">
        <v>4</v>
      </c>
    </row>
    <row r="303" spans="1:15">
      <c r="A303" s="102">
        <v>14.1</v>
      </c>
      <c r="B303" s="108" t="s">
        <v>167</v>
      </c>
      <c r="C303" s="134"/>
      <c r="L303" s="129">
        <f>C303</f>
        <v>0</v>
      </c>
      <c r="N303" s="107">
        <v>2</v>
      </c>
      <c r="O303" s="100" t="s">
        <v>4</v>
      </c>
    </row>
    <row r="304" spans="1:15">
      <c r="A304" s="102">
        <v>14.11</v>
      </c>
      <c r="B304" s="108" t="s">
        <v>168</v>
      </c>
      <c r="C304" s="134"/>
      <c r="L304" s="129">
        <f>L303</f>
        <v>0</v>
      </c>
      <c r="N304" s="107">
        <v>2</v>
      </c>
      <c r="O304" s="100" t="s">
        <v>4</v>
      </c>
    </row>
    <row r="305" spans="1:15">
      <c r="A305" s="102">
        <v>14.12</v>
      </c>
      <c r="B305" s="108" t="s">
        <v>169</v>
      </c>
      <c r="C305" s="134"/>
      <c r="L305" s="129">
        <f t="shared" ref="L305:L314" si="38">C305</f>
        <v>0</v>
      </c>
      <c r="N305" s="107">
        <v>2</v>
      </c>
      <c r="O305" s="100" t="s">
        <v>4</v>
      </c>
    </row>
    <row r="306" spans="1:15">
      <c r="A306" s="102">
        <v>14.13</v>
      </c>
      <c r="B306" s="108" t="s">
        <v>170</v>
      </c>
      <c r="C306" s="134"/>
      <c r="L306" s="129">
        <f t="shared" si="38"/>
        <v>0</v>
      </c>
      <c r="N306" s="107">
        <v>12</v>
      </c>
      <c r="O306" s="100" t="s">
        <v>4</v>
      </c>
    </row>
    <row r="307" spans="1:15">
      <c r="A307" s="102">
        <v>14.14</v>
      </c>
      <c r="B307" s="69" t="s">
        <v>171</v>
      </c>
      <c r="C307" s="134"/>
      <c r="L307" s="129">
        <f t="shared" si="38"/>
        <v>0</v>
      </c>
      <c r="N307" s="107">
        <v>10</v>
      </c>
      <c r="O307" s="100" t="s">
        <v>23</v>
      </c>
    </row>
    <row r="308" spans="1:15">
      <c r="A308" s="102">
        <v>14.15</v>
      </c>
      <c r="B308" s="69" t="s">
        <v>172</v>
      </c>
      <c r="C308" s="134"/>
      <c r="L308" s="129">
        <f t="shared" si="38"/>
        <v>0</v>
      </c>
      <c r="N308" s="107">
        <v>20</v>
      </c>
      <c r="O308" s="100" t="s">
        <v>23</v>
      </c>
    </row>
    <row r="309" spans="1:15">
      <c r="A309" s="102">
        <v>14.16</v>
      </c>
      <c r="B309" s="69" t="s">
        <v>173</v>
      </c>
      <c r="C309" s="134"/>
      <c r="L309" s="129">
        <f t="shared" si="38"/>
        <v>0</v>
      </c>
      <c r="N309" s="107">
        <v>1</v>
      </c>
      <c r="O309" s="100" t="s">
        <v>23</v>
      </c>
    </row>
    <row r="310" spans="1:15">
      <c r="A310" s="102">
        <v>14.17</v>
      </c>
      <c r="B310" s="69" t="s">
        <v>286</v>
      </c>
      <c r="C310" s="134"/>
      <c r="L310" s="129">
        <f t="shared" si="38"/>
        <v>0</v>
      </c>
      <c r="N310" s="107">
        <v>20</v>
      </c>
      <c r="O310" s="100" t="s">
        <v>4</v>
      </c>
    </row>
    <row r="311" spans="1:15">
      <c r="A311" s="102">
        <v>14.18</v>
      </c>
      <c r="B311" s="69" t="s">
        <v>174</v>
      </c>
      <c r="C311" s="134"/>
      <c r="L311" s="129">
        <f t="shared" si="38"/>
        <v>0</v>
      </c>
      <c r="N311" s="107">
        <v>10</v>
      </c>
      <c r="O311" s="100" t="s">
        <v>23</v>
      </c>
    </row>
    <row r="312" spans="1:15">
      <c r="A312" s="102">
        <v>14.19</v>
      </c>
      <c r="B312" s="69" t="s">
        <v>319</v>
      </c>
      <c r="C312" s="134"/>
      <c r="L312" s="129">
        <f t="shared" si="38"/>
        <v>0</v>
      </c>
      <c r="N312" s="107">
        <v>10</v>
      </c>
      <c r="O312" s="100" t="s">
        <v>4</v>
      </c>
    </row>
    <row r="313" spans="1:15">
      <c r="A313" s="102">
        <v>14.2</v>
      </c>
      <c r="B313" s="69" t="s">
        <v>262</v>
      </c>
      <c r="C313" s="134"/>
      <c r="L313" s="129">
        <f t="shared" si="38"/>
        <v>0</v>
      </c>
      <c r="N313" s="107">
        <v>10</v>
      </c>
      <c r="O313" s="100" t="s">
        <v>4</v>
      </c>
    </row>
    <row r="314" spans="1:15">
      <c r="A314" s="102">
        <v>14.21</v>
      </c>
      <c r="B314" s="149" t="s">
        <v>263</v>
      </c>
      <c r="C314" s="134"/>
      <c r="L314" s="129">
        <f t="shared" si="38"/>
        <v>0</v>
      </c>
      <c r="N314" s="107">
        <v>10</v>
      </c>
      <c r="O314" s="100" t="s">
        <v>4</v>
      </c>
    </row>
    <row r="315" spans="1:15">
      <c r="A315" s="102">
        <v>14.22</v>
      </c>
      <c r="B315" s="149" t="s">
        <v>269</v>
      </c>
      <c r="C315" s="134"/>
      <c r="L315" s="129">
        <f>C315</f>
        <v>0</v>
      </c>
      <c r="N315" s="107">
        <v>5</v>
      </c>
      <c r="O315" s="100" t="s">
        <v>2</v>
      </c>
    </row>
    <row r="316" spans="1:15">
      <c r="B316" s="69"/>
    </row>
    <row r="317" spans="1:15">
      <c r="A317" s="98">
        <v>15</v>
      </c>
      <c r="B317" s="154" t="s">
        <v>175</v>
      </c>
    </row>
    <row r="318" spans="1:15">
      <c r="A318" s="106">
        <v>15.01</v>
      </c>
      <c r="B318" s="69" t="s">
        <v>176</v>
      </c>
      <c r="C318" s="134"/>
      <c r="L318" s="129">
        <f t="shared" ref="L318:L335" si="39">C318</f>
        <v>0</v>
      </c>
      <c r="N318" s="107">
        <v>50</v>
      </c>
      <c r="O318" s="100" t="s">
        <v>122</v>
      </c>
    </row>
    <row r="319" spans="1:15">
      <c r="A319" s="106">
        <v>15.02</v>
      </c>
      <c r="B319" s="108" t="s">
        <v>177</v>
      </c>
      <c r="C319" s="134"/>
      <c r="L319" s="129">
        <f t="shared" si="39"/>
        <v>0</v>
      </c>
      <c r="N319" s="107">
        <v>50</v>
      </c>
      <c r="O319" s="100" t="s">
        <v>122</v>
      </c>
    </row>
    <row r="320" spans="1:15">
      <c r="A320" s="106">
        <v>15.03</v>
      </c>
      <c r="B320" s="69" t="s">
        <v>178</v>
      </c>
      <c r="C320" s="134"/>
      <c r="L320" s="129">
        <f t="shared" si="39"/>
        <v>0</v>
      </c>
      <c r="N320" s="107">
        <v>30</v>
      </c>
      <c r="O320" s="100" t="s">
        <v>122</v>
      </c>
    </row>
    <row r="321" spans="1:15">
      <c r="A321" s="106">
        <v>15.04</v>
      </c>
      <c r="B321" s="108" t="s">
        <v>179</v>
      </c>
      <c r="C321" s="134"/>
      <c r="L321" s="129">
        <f t="shared" si="39"/>
        <v>0</v>
      </c>
      <c r="N321" s="107">
        <v>30</v>
      </c>
      <c r="O321" s="100" t="s">
        <v>122</v>
      </c>
    </row>
    <row r="322" spans="1:15">
      <c r="A322" s="106">
        <v>15.05</v>
      </c>
      <c r="B322" s="108" t="s">
        <v>180</v>
      </c>
      <c r="C322" s="134"/>
      <c r="L322" s="129">
        <f t="shared" si="39"/>
        <v>0</v>
      </c>
      <c r="N322" s="107">
        <v>15</v>
      </c>
      <c r="O322" s="100" t="s">
        <v>122</v>
      </c>
    </row>
    <row r="323" spans="1:15">
      <c r="A323" s="106">
        <v>15.06</v>
      </c>
      <c r="B323" s="108" t="s">
        <v>181</v>
      </c>
      <c r="C323" s="134"/>
      <c r="L323" s="129">
        <f t="shared" si="39"/>
        <v>0</v>
      </c>
      <c r="N323" s="107">
        <v>15</v>
      </c>
      <c r="O323" s="100" t="s">
        <v>122</v>
      </c>
    </row>
    <row r="324" spans="1:15">
      <c r="A324" s="106">
        <v>15.07</v>
      </c>
      <c r="B324" s="108" t="s">
        <v>182</v>
      </c>
      <c r="C324" s="134"/>
      <c r="L324" s="129">
        <f t="shared" si="39"/>
        <v>0</v>
      </c>
      <c r="N324" s="107">
        <v>5</v>
      </c>
      <c r="O324" s="100" t="s">
        <v>122</v>
      </c>
    </row>
    <row r="325" spans="1:15">
      <c r="A325" s="106">
        <v>15.08</v>
      </c>
      <c r="B325" s="108" t="s">
        <v>187</v>
      </c>
      <c r="C325" s="134"/>
      <c r="L325" s="129">
        <f t="shared" si="39"/>
        <v>0</v>
      </c>
      <c r="N325" s="107">
        <v>40</v>
      </c>
      <c r="O325" s="100" t="s">
        <v>4</v>
      </c>
    </row>
    <row r="326" spans="1:15">
      <c r="A326" s="106">
        <v>15.09</v>
      </c>
      <c r="B326" s="108" t="s">
        <v>183</v>
      </c>
      <c r="C326" s="134"/>
      <c r="L326" s="129">
        <f t="shared" si="39"/>
        <v>0</v>
      </c>
      <c r="N326" s="107">
        <v>1</v>
      </c>
      <c r="O326" s="100" t="s">
        <v>8</v>
      </c>
    </row>
    <row r="327" spans="1:15">
      <c r="A327" s="106">
        <v>15.1</v>
      </c>
      <c r="B327" s="108" t="s">
        <v>184</v>
      </c>
      <c r="C327" s="134"/>
      <c r="L327" s="129">
        <f t="shared" si="39"/>
        <v>0</v>
      </c>
      <c r="N327" s="107">
        <f t="shared" ref="N327:N329" si="40">L327</f>
        <v>0</v>
      </c>
      <c r="O327" s="100" t="s">
        <v>8</v>
      </c>
    </row>
    <row r="328" spans="1:15">
      <c r="A328" s="106">
        <v>15.11</v>
      </c>
      <c r="B328" s="108" t="s">
        <v>185</v>
      </c>
      <c r="C328" s="134"/>
      <c r="L328" s="129">
        <f t="shared" si="39"/>
        <v>0</v>
      </c>
      <c r="N328" s="107">
        <f t="shared" si="40"/>
        <v>0</v>
      </c>
      <c r="O328" s="100" t="s">
        <v>4</v>
      </c>
    </row>
    <row r="329" spans="1:15">
      <c r="A329" s="106">
        <v>15.12</v>
      </c>
      <c r="B329" s="108" t="s">
        <v>186</v>
      </c>
      <c r="C329" s="134"/>
      <c r="L329" s="129">
        <f t="shared" si="39"/>
        <v>0</v>
      </c>
      <c r="N329" s="107">
        <f t="shared" si="40"/>
        <v>0</v>
      </c>
      <c r="O329" s="100" t="s">
        <v>4</v>
      </c>
    </row>
    <row r="330" spans="1:15">
      <c r="A330" s="106">
        <v>15.13</v>
      </c>
      <c r="B330" s="108" t="s">
        <v>270</v>
      </c>
      <c r="C330" s="134"/>
      <c r="L330" s="129">
        <f t="shared" si="39"/>
        <v>0</v>
      </c>
      <c r="N330" s="107">
        <v>1</v>
      </c>
      <c r="O330" s="100" t="s">
        <v>122</v>
      </c>
    </row>
    <row r="331" spans="1:15">
      <c r="A331" s="106">
        <v>15.14</v>
      </c>
      <c r="B331" s="108" t="s">
        <v>190</v>
      </c>
      <c r="C331" s="134"/>
      <c r="L331" s="129">
        <f t="shared" si="39"/>
        <v>0</v>
      </c>
      <c r="N331" s="107">
        <v>10</v>
      </c>
      <c r="O331" s="100" t="s">
        <v>4</v>
      </c>
    </row>
    <row r="332" spans="1:15">
      <c r="A332" s="106">
        <v>15.15</v>
      </c>
      <c r="B332" s="108" t="s">
        <v>191</v>
      </c>
      <c r="C332" s="134"/>
      <c r="L332" s="129">
        <f t="shared" si="39"/>
        <v>0</v>
      </c>
      <c r="N332" s="107">
        <v>42</v>
      </c>
      <c r="O332" s="100" t="s">
        <v>4</v>
      </c>
    </row>
    <row r="333" spans="1:15">
      <c r="A333" s="106">
        <v>15.16</v>
      </c>
      <c r="B333" s="108" t="s">
        <v>192</v>
      </c>
      <c r="C333" s="134"/>
      <c r="L333" s="129">
        <f t="shared" si="39"/>
        <v>0</v>
      </c>
      <c r="N333" s="107">
        <v>4</v>
      </c>
      <c r="O333" s="100" t="s">
        <v>122</v>
      </c>
    </row>
    <row r="334" spans="1:15">
      <c r="A334" s="106">
        <v>15.17</v>
      </c>
      <c r="B334" s="108" t="s">
        <v>271</v>
      </c>
      <c r="C334" s="134"/>
      <c r="L334" s="129">
        <f t="shared" si="39"/>
        <v>0</v>
      </c>
      <c r="N334" s="107">
        <v>1</v>
      </c>
      <c r="O334" s="100" t="s">
        <v>8</v>
      </c>
    </row>
    <row r="335" spans="1:15">
      <c r="A335" s="106">
        <v>15.18</v>
      </c>
      <c r="B335" s="108" t="s">
        <v>272</v>
      </c>
      <c r="C335" s="134"/>
      <c r="L335" s="129">
        <f t="shared" si="39"/>
        <v>0</v>
      </c>
      <c r="N335" s="107">
        <v>1</v>
      </c>
      <c r="O335" s="100" t="s">
        <v>8</v>
      </c>
    </row>
    <row r="336" spans="1:15">
      <c r="A336" s="106">
        <v>15.19</v>
      </c>
      <c r="B336" s="108" t="s">
        <v>320</v>
      </c>
      <c r="C336" s="134"/>
      <c r="L336" s="129"/>
      <c r="N336" s="107">
        <v>5</v>
      </c>
      <c r="O336" s="100" t="s">
        <v>189</v>
      </c>
    </row>
    <row r="337" spans="1:22">
      <c r="B337" s="108"/>
      <c r="C337" s="134"/>
      <c r="L337" s="129"/>
    </row>
    <row r="338" spans="1:22">
      <c r="A338" s="98">
        <v>16</v>
      </c>
      <c r="B338" s="98" t="s">
        <v>277</v>
      </c>
    </row>
    <row r="339" spans="1:22">
      <c r="A339" s="106">
        <v>16.010000000000002</v>
      </c>
      <c r="B339" s="108" t="s">
        <v>278</v>
      </c>
      <c r="C339" s="134"/>
      <c r="L339" s="129">
        <f>C339</f>
        <v>0</v>
      </c>
      <c r="N339" s="107">
        <f>L339</f>
        <v>0</v>
      </c>
      <c r="O339" s="100" t="s">
        <v>4</v>
      </c>
      <c r="V339" s="155"/>
    </row>
    <row r="340" spans="1:22" s="158" customFormat="1">
      <c r="A340" s="156">
        <v>16.02</v>
      </c>
      <c r="B340" s="108" t="s">
        <v>279</v>
      </c>
      <c r="C340" s="157"/>
      <c r="L340" s="159">
        <f>C340</f>
        <v>0</v>
      </c>
      <c r="M340" s="160"/>
      <c r="N340" s="161">
        <v>2</v>
      </c>
      <c r="O340" s="162" t="s">
        <v>4</v>
      </c>
      <c r="V340" s="155"/>
    </row>
    <row r="341" spans="1:22" s="158" customFormat="1">
      <c r="A341" s="156"/>
      <c r="B341" s="69"/>
      <c r="L341" s="160"/>
      <c r="M341" s="160"/>
      <c r="O341" s="162"/>
      <c r="V341" s="155"/>
    </row>
    <row r="342" spans="1:22" s="158" customFormat="1">
      <c r="A342" s="156"/>
      <c r="B342" s="69"/>
      <c r="L342" s="160"/>
      <c r="M342" s="160"/>
      <c r="O342" s="162"/>
      <c r="V342" s="113"/>
    </row>
    <row r="343" spans="1:22">
      <c r="B343" s="69"/>
    </row>
    <row r="344" spans="1:22">
      <c r="B344" s="69"/>
    </row>
    <row r="345" spans="1:22">
      <c r="B345" s="69"/>
    </row>
    <row r="346" spans="1:22">
      <c r="B346" s="69"/>
    </row>
    <row r="347" spans="1:22">
      <c r="B347" s="69"/>
    </row>
    <row r="348" spans="1:22">
      <c r="B348" s="69"/>
    </row>
    <row r="349" spans="1:22">
      <c r="B349" s="69"/>
    </row>
    <row r="350" spans="1:22">
      <c r="B350" s="69"/>
    </row>
    <row r="351" spans="1:22">
      <c r="B351" s="69"/>
    </row>
    <row r="352" spans="1:22">
      <c r="B352" s="69"/>
    </row>
    <row r="353" spans="2:2">
      <c r="B353" s="69"/>
    </row>
    <row r="354" spans="2:2">
      <c r="B354" s="108"/>
    </row>
    <row r="355" spans="2:2">
      <c r="B355" s="69"/>
    </row>
    <row r="356" spans="2:2">
      <c r="B356" s="69"/>
    </row>
    <row r="357" spans="2:2">
      <c r="B357" s="69"/>
    </row>
    <row r="358" spans="2:2">
      <c r="B358" s="69"/>
    </row>
    <row r="359" spans="2:2">
      <c r="B359" s="69"/>
    </row>
    <row r="360" spans="2:2">
      <c r="B360" s="69"/>
    </row>
    <row r="361" spans="2:2">
      <c r="B361" s="69"/>
    </row>
    <row r="362" spans="2:2">
      <c r="B362" s="69"/>
    </row>
    <row r="363" spans="2:2">
      <c r="B363" s="69"/>
    </row>
  </sheetData>
  <mergeCells count="10">
    <mergeCell ref="U1:U3"/>
    <mergeCell ref="P1:T2"/>
    <mergeCell ref="V1:V3"/>
    <mergeCell ref="A1:A3"/>
    <mergeCell ref="C1:K2"/>
    <mergeCell ref="L1:L3"/>
    <mergeCell ref="M1:M3"/>
    <mergeCell ref="N1:N3"/>
    <mergeCell ref="O1:O3"/>
    <mergeCell ref="B1:B3"/>
  </mergeCells>
  <printOptions horizontalCentered="1" verticalCentered="1"/>
  <pageMargins left="0.7" right="0.7" top="0.75" bottom="0.75" header="0.3" footer="0.3"/>
  <pageSetup paperSize="9" orientation="portrait" r:id="rId1"/>
  <ignoredErrors>
    <ignoredError sqref="N41:N43 N47 L34" formula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00000000-0002-0000-0100-000000000000}">
          <x14:formula1>
            <xm:f>'Rates &amp; Constants'!$C$10:$C$14</xm:f>
          </x14:formula1>
          <xm:sqref>C5:C6</xm:sqref>
        </x14:dataValidation>
        <x14:dataValidation type="list" allowBlank="1" showInputMessage="1" showErrorMessage="1" xr:uid="{00000000-0002-0000-0100-000001000000}">
          <x14:formula1>
            <xm:f>'Rates &amp; Constants'!$D$10:$D$12</xm:f>
          </x14:formula1>
          <xm:sqref>I6</xm:sqref>
        </x14:dataValidation>
        <x14:dataValidation type="list" allowBlank="1" showInputMessage="1" showErrorMessage="1" errorTitle="Unit Constraint" error="Select appropriate unit of measure from list. Consult DM for assistance. Thank you." promptTitle="Unit Constraint" prompt="Select appropriate unit of measure" xr:uid="{00000000-0002-0000-0100-000002000000}">
          <x14:formula1>
            <xm:f>'Rates &amp; Constants'!$A$12:$A$26</xm:f>
          </x14:formula1>
          <xm:sqref>O382:O1048576 O1:O3</xm:sqref>
        </x14:dataValidation>
        <x14:dataValidation type="list" allowBlank="1" showInputMessage="1" showErrorMessage="1" errorTitle="Unit Constraint" error="Select appropriate unit of measure from list. Consult DM for assistance. Thank you." promptTitle="Unit Constraint" prompt="Select appropriate unit of measure" xr:uid="{00000000-0002-0000-0100-000003000000}">
          <x14:formula1>
            <xm:f>'Rates &amp; Constants'!$A$12:$A$28</xm:f>
          </x14:formula1>
          <xm:sqref>O4:O109 O111:O381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N387"/>
  <sheetViews>
    <sheetView showZeros="0" tabSelected="1" topLeftCell="B1" zoomScale="140" zoomScaleNormal="140" workbookViewId="0">
      <pane ySplit="8" topLeftCell="A376" activePane="bottomLeft" state="frozen"/>
      <selection pane="bottomLeft" activeCell="B383" sqref="A381:XFD383"/>
    </sheetView>
  </sheetViews>
  <sheetFormatPr defaultColWidth="8.85546875" defaultRowHeight="12.75"/>
  <cols>
    <col min="1" max="1" width="8.7109375" style="9" customWidth="1"/>
    <col min="2" max="2" width="82" style="6" bestFit="1" customWidth="1"/>
    <col min="3" max="3" width="8.7109375" style="39" hidden="1" customWidth="1"/>
    <col min="4" max="4" width="11.5703125" style="187" hidden="1" customWidth="1"/>
    <col min="5" max="5" width="10" style="39" bestFit="1" customWidth="1"/>
    <col min="6" max="6" width="8.140625" style="8" customWidth="1"/>
    <col min="7" max="7" width="11" style="6" bestFit="1" customWidth="1"/>
    <col min="8" max="8" width="16.28515625" style="6" customWidth="1"/>
    <col min="9" max="9" width="15.140625" style="8" customWidth="1"/>
    <col min="10" max="16384" width="8.85546875" style="8"/>
  </cols>
  <sheetData>
    <row r="1" spans="1:8" s="4" customFormat="1" ht="15.75">
      <c r="A1" s="49" t="s">
        <v>76</v>
      </c>
      <c r="B1" s="32"/>
      <c r="C1" s="36"/>
      <c r="D1" s="184"/>
      <c r="E1" s="36"/>
      <c r="F1" s="33"/>
      <c r="G1" s="32"/>
      <c r="H1" s="50" t="s">
        <v>99</v>
      </c>
    </row>
    <row r="2" spans="1:8" s="4" customFormat="1" ht="16.5" thickBot="1">
      <c r="A2" s="51" t="s">
        <v>98</v>
      </c>
      <c r="B2" s="34"/>
      <c r="C2" s="37"/>
      <c r="D2" s="185"/>
      <c r="E2" s="37"/>
      <c r="F2" s="35"/>
      <c r="G2" s="34"/>
      <c r="H2" s="52"/>
    </row>
    <row r="3" spans="1:8" s="4" customFormat="1" ht="29.45" customHeight="1">
      <c r="B3" s="2"/>
      <c r="C3" s="38"/>
      <c r="D3" s="186"/>
      <c r="E3" s="38"/>
      <c r="F3" s="3"/>
      <c r="G3" s="2"/>
      <c r="H3" s="57"/>
    </row>
    <row r="4" spans="1:8">
      <c r="A4" s="43" t="s">
        <v>97</v>
      </c>
      <c r="B4" s="24" t="str">
        <f>'Takeoff Sheet'!C4</f>
        <v>C-Grade MFE</v>
      </c>
      <c r="C4" s="46" t="s">
        <v>81</v>
      </c>
      <c r="D4" s="190"/>
      <c r="E4" s="46"/>
      <c r="F4" s="25"/>
      <c r="G4" s="26"/>
      <c r="H4" s="27"/>
    </row>
    <row r="5" spans="1:8">
      <c r="A5" s="44" t="s">
        <v>77</v>
      </c>
      <c r="B5" s="22" t="s">
        <v>329</v>
      </c>
      <c r="C5" s="47" t="s">
        <v>79</v>
      </c>
      <c r="D5" s="189"/>
      <c r="E5" s="47"/>
      <c r="F5" s="7"/>
      <c r="H5" s="28">
        <v>210622</v>
      </c>
    </row>
    <row r="6" spans="1:8">
      <c r="A6" s="45" t="s">
        <v>78</v>
      </c>
      <c r="B6" s="29" t="s">
        <v>330</v>
      </c>
      <c r="C6" s="48" t="s">
        <v>80</v>
      </c>
      <c r="D6" s="191"/>
      <c r="E6" s="48"/>
      <c r="F6" s="30"/>
      <c r="G6" s="31"/>
      <c r="H6" s="53" t="s">
        <v>331</v>
      </c>
    </row>
    <row r="7" spans="1:8">
      <c r="F7" s="7"/>
    </row>
    <row r="8" spans="1:8" ht="14.45" customHeight="1">
      <c r="A8" s="15" t="s">
        <v>0</v>
      </c>
      <c r="B8" s="23"/>
      <c r="C8" s="42" t="s">
        <v>3</v>
      </c>
      <c r="D8" s="192" t="s">
        <v>340</v>
      </c>
      <c r="E8" s="42" t="s">
        <v>341</v>
      </c>
      <c r="F8" s="17" t="s">
        <v>47</v>
      </c>
      <c r="G8" s="16" t="s">
        <v>6</v>
      </c>
      <c r="H8" s="18" t="s">
        <v>1</v>
      </c>
    </row>
    <row r="9" spans="1:8">
      <c r="A9" s="19"/>
      <c r="B9" s="20"/>
      <c r="C9" s="40"/>
      <c r="D9" s="188"/>
      <c r="E9" s="40"/>
      <c r="F9" s="21"/>
      <c r="G9" s="20"/>
      <c r="H9" s="20"/>
    </row>
    <row r="10" spans="1:8" s="12" customFormat="1" hidden="1">
      <c r="A10" s="65">
        <f>'Takeoff Sheet'!A8</f>
        <v>1</v>
      </c>
      <c r="B10" s="65" t="str">
        <f>'Takeoff Sheet'!B8</f>
        <v>GENERAL REQUIREMENTS</v>
      </c>
      <c r="C10" s="41"/>
      <c r="D10" s="189"/>
      <c r="E10" s="41"/>
      <c r="F10" s="8"/>
      <c r="G10" s="8"/>
      <c r="H10" s="8"/>
    </row>
    <row r="11" spans="1:8" hidden="1">
      <c r="A11" s="14">
        <f>'Takeoff Sheet'!A9</f>
        <v>1.01</v>
      </c>
      <c r="B11" s="13" t="str">
        <f>'Takeoff Sheet'!B9</f>
        <v>Allow for heavy plants and equipments</v>
      </c>
      <c r="C11" s="39">
        <f>ROUND('Takeoff Sheet'!N9,0)</f>
        <v>1</v>
      </c>
      <c r="D11" s="187">
        <v>4</v>
      </c>
      <c r="E11" s="39">
        <f>D11*C11</f>
        <v>4</v>
      </c>
      <c r="F11" s="7" t="str">
        <f>'Takeoff Sheet'!O9</f>
        <v>PS</v>
      </c>
      <c r="G11" s="6">
        <f>'Takeoff Sheet'!V9</f>
        <v>0</v>
      </c>
      <c r="H11" s="6">
        <f>G11*C11</f>
        <v>0</v>
      </c>
    </row>
    <row r="12" spans="1:8" hidden="1">
      <c r="A12" s="14">
        <f>'Takeoff Sheet'!A10</f>
        <v>1.02</v>
      </c>
      <c r="B12" s="13" t="str">
        <f>'Takeoff Sheet'!B10</f>
        <v>Allow for basic tools</v>
      </c>
      <c r="C12" s="39">
        <f>ROUND('Takeoff Sheet'!N10,0)</f>
        <v>1</v>
      </c>
      <c r="D12" s="187">
        <v>4</v>
      </c>
      <c r="E12" s="39">
        <f>D12*C12</f>
        <v>4</v>
      </c>
      <c r="F12" s="7" t="str">
        <f>'Takeoff Sheet'!O10</f>
        <v>PC</v>
      </c>
      <c r="G12" s="6">
        <f>'Takeoff Sheet'!V10</f>
        <v>0</v>
      </c>
      <c r="H12" s="6">
        <f>G12*C12</f>
        <v>0</v>
      </c>
    </row>
    <row r="13" spans="1:8" hidden="1">
      <c r="A13" s="14">
        <f>'Takeoff Sheet'!A11</f>
        <v>1.03</v>
      </c>
      <c r="B13" s="13" t="str">
        <f>'Takeoff Sheet'!B11</f>
        <v>Allow for OHS requirements</v>
      </c>
      <c r="C13" s="39">
        <f>ROUND('Takeoff Sheet'!N11,0)</f>
        <v>1</v>
      </c>
      <c r="D13" s="187">
        <v>4</v>
      </c>
      <c r="E13" s="39">
        <f>D13*C13</f>
        <v>4</v>
      </c>
      <c r="F13" s="7" t="str">
        <f>'Takeoff Sheet'!O11</f>
        <v>PS</v>
      </c>
      <c r="G13" s="6">
        <f>'Takeoff Sheet'!V11</f>
        <v>0</v>
      </c>
      <c r="H13" s="6">
        <f>G13*C13</f>
        <v>0</v>
      </c>
    </row>
    <row r="14" spans="1:8" hidden="1">
      <c r="A14" s="14">
        <f>'Takeoff Sheet'!A12</f>
        <v>1.04</v>
      </c>
      <c r="B14" s="13" t="str">
        <f>'Takeoff Sheet'!B12</f>
        <v>Allow for permits</v>
      </c>
      <c r="C14" s="39">
        <f>ROUND('Takeoff Sheet'!N12,0)</f>
        <v>1</v>
      </c>
      <c r="D14" s="187">
        <v>4</v>
      </c>
      <c r="E14" s="39">
        <f>D14*C14</f>
        <v>4</v>
      </c>
      <c r="F14" s="7" t="str">
        <f>'Takeoff Sheet'!O12</f>
        <v>PC</v>
      </c>
      <c r="G14" s="6">
        <f>'Takeoff Sheet'!V12</f>
        <v>0</v>
      </c>
      <c r="H14" s="6">
        <f>G14*C14</f>
        <v>0</v>
      </c>
    </row>
    <row r="15" spans="1:8" hidden="1">
      <c r="A15" s="14">
        <f>'Takeoff Sheet'!A13</f>
        <v>1.05</v>
      </c>
      <c r="B15" s="13" t="str">
        <f>'Takeoff Sheet'!B13</f>
        <v>Allow for site security services</v>
      </c>
      <c r="C15" s="39">
        <f>ROUND('Takeoff Sheet'!N13,0)</f>
        <v>1</v>
      </c>
      <c r="D15" s="187">
        <v>4</v>
      </c>
      <c r="E15" s="39">
        <f>D15*C15</f>
        <v>4</v>
      </c>
      <c r="F15" s="7" t="str">
        <f>'Takeoff Sheet'!O13</f>
        <v>PS</v>
      </c>
      <c r="G15" s="6">
        <f>'Takeoff Sheet'!V13</f>
        <v>0</v>
      </c>
      <c r="H15" s="6">
        <f>G15*C15</f>
        <v>0</v>
      </c>
    </row>
    <row r="16" spans="1:8" hidden="1">
      <c r="A16" s="9">
        <f>'Takeoff Sheet'!A14</f>
        <v>0</v>
      </c>
      <c r="B16" s="10"/>
      <c r="F16" s="7"/>
    </row>
    <row r="17" spans="1:8" s="12" customFormat="1" hidden="1">
      <c r="A17" s="5">
        <f>'Takeoff Sheet'!A15</f>
        <v>0</v>
      </c>
      <c r="B17" s="13" t="str">
        <f>'Takeoff Sheet'!B15</f>
        <v>TOTAL TO SUMMARY</v>
      </c>
      <c r="C17" s="39"/>
      <c r="D17" s="187"/>
      <c r="E17" s="39"/>
      <c r="F17" s="7"/>
      <c r="G17" s="6"/>
      <c r="H17" s="6"/>
    </row>
    <row r="18" spans="1:8" hidden="1">
      <c r="A18" s="9">
        <f>'Takeoff Sheet'!A16</f>
        <v>0</v>
      </c>
      <c r="B18" s="10"/>
      <c r="F18" s="7"/>
    </row>
    <row r="19" spans="1:8" s="12" customFormat="1" hidden="1">
      <c r="A19" s="65">
        <f>'Takeoff Sheet'!A17</f>
        <v>2</v>
      </c>
      <c r="B19" s="65" t="str">
        <f>'Takeoff Sheet'!B17</f>
        <v>PRELIMINARIES</v>
      </c>
      <c r="C19" s="39"/>
      <c r="D19" s="187"/>
      <c r="E19" s="39"/>
      <c r="F19" s="7"/>
      <c r="G19" s="6"/>
      <c r="H19" s="6"/>
    </row>
    <row r="20" spans="1:8" s="12" customFormat="1" hidden="1">
      <c r="A20" s="14">
        <f>'Takeoff Sheet'!A18</f>
        <v>2.0099999999999998</v>
      </c>
      <c r="B20" s="13" t="str">
        <f>'Takeoff Sheet'!B18</f>
        <v>Allow for LMD surveys</v>
      </c>
      <c r="C20" s="39">
        <f>ROUND('Takeoff Sheet'!N18,0)</f>
        <v>1</v>
      </c>
      <c r="D20" s="187">
        <v>4</v>
      </c>
      <c r="E20" s="39">
        <f>D20*C20</f>
        <v>4</v>
      </c>
      <c r="F20" s="7" t="str">
        <f>'Takeoff Sheet'!O18</f>
        <v>PS</v>
      </c>
      <c r="G20" s="6">
        <f>'Takeoff Sheet'!V18</f>
        <v>0</v>
      </c>
      <c r="H20" s="6">
        <f>G20*C20</f>
        <v>0</v>
      </c>
    </row>
    <row r="21" spans="1:8" s="12" customFormat="1" hidden="1">
      <c r="A21" s="14">
        <f>'Takeoff Sheet'!A19</f>
        <v>2.02</v>
      </c>
      <c r="B21" s="13" t="str">
        <f>'Takeoff Sheet'!B19</f>
        <v>Allow for site hoarding and access</v>
      </c>
      <c r="C21" s="39">
        <f>ROUND('Takeoff Sheet'!N19,0)</f>
        <v>1</v>
      </c>
      <c r="D21" s="187">
        <v>4</v>
      </c>
      <c r="E21" s="39">
        <f>D21*C21</f>
        <v>4</v>
      </c>
      <c r="F21" s="7" t="str">
        <f>'Takeoff Sheet'!O19</f>
        <v>PS</v>
      </c>
      <c r="G21" s="6">
        <f>'Takeoff Sheet'!V19</f>
        <v>0</v>
      </c>
      <c r="H21" s="6">
        <f>G21*C21</f>
        <v>0</v>
      </c>
    </row>
    <row r="22" spans="1:8" s="12" customFormat="1" hidden="1">
      <c r="A22" s="14">
        <f>'Takeoff Sheet'!A20</f>
        <v>2.0299999999999998</v>
      </c>
      <c r="B22" s="13" t="str">
        <f>'Takeoff Sheet'!B20</f>
        <v>Allow for temporary services</v>
      </c>
      <c r="C22" s="39">
        <f>ROUND('Takeoff Sheet'!N20,0)</f>
        <v>1</v>
      </c>
      <c r="D22" s="187">
        <v>4</v>
      </c>
      <c r="E22" s="39">
        <f>D22*C22</f>
        <v>4</v>
      </c>
      <c r="F22" s="7" t="str">
        <f>'Takeoff Sheet'!O20</f>
        <v>PS</v>
      </c>
      <c r="G22" s="6">
        <f>'Takeoff Sheet'!V20</f>
        <v>0</v>
      </c>
      <c r="H22" s="6">
        <f>G22*C22</f>
        <v>0</v>
      </c>
    </row>
    <row r="23" spans="1:8" s="12" customFormat="1" hidden="1">
      <c r="A23" s="14">
        <f>'Takeoff Sheet'!A21</f>
        <v>2.04</v>
      </c>
      <c r="B23" s="13" t="str">
        <f>'Takeoff Sheet'!B21</f>
        <v>Allow for site clearance</v>
      </c>
      <c r="C23" s="39">
        <f>ROUND('Takeoff Sheet'!N21,0)</f>
        <v>1</v>
      </c>
      <c r="D23" s="187">
        <v>4</v>
      </c>
      <c r="E23" s="39">
        <f>D23*C23</f>
        <v>4</v>
      </c>
      <c r="F23" s="7" t="str">
        <f>'Takeoff Sheet'!O21</f>
        <v>PS</v>
      </c>
      <c r="G23" s="6">
        <f>'Takeoff Sheet'!V21</f>
        <v>0</v>
      </c>
      <c r="H23" s="6">
        <f>G23*C23</f>
        <v>0</v>
      </c>
    </row>
    <row r="24" spans="1:8">
      <c r="A24" s="9">
        <f>'Takeoff Sheet'!A22</f>
        <v>0</v>
      </c>
      <c r="B24" s="10"/>
      <c r="F24" s="7"/>
    </row>
    <row r="25" spans="1:8" s="12" customFormat="1">
      <c r="A25" s="5">
        <f>'Takeoff Sheet'!A23</f>
        <v>0</v>
      </c>
      <c r="B25" s="13" t="str">
        <f>'Takeoff Sheet'!B23</f>
        <v>TOTAL TO SUMMARY</v>
      </c>
      <c r="C25" s="39"/>
      <c r="D25" s="187"/>
      <c r="E25" s="39"/>
      <c r="F25" s="7"/>
      <c r="G25" s="6"/>
      <c r="H25" s="6"/>
    </row>
    <row r="26" spans="1:8">
      <c r="A26" s="9">
        <f>'Takeoff Sheet'!A24</f>
        <v>0</v>
      </c>
      <c r="B26" s="10"/>
      <c r="F26" s="7"/>
    </row>
    <row r="27" spans="1:8" s="12" customFormat="1">
      <c r="A27" s="65">
        <f>'Takeoff Sheet'!A25</f>
        <v>3</v>
      </c>
      <c r="B27" s="65" t="str">
        <f>'Takeoff Sheet'!B25</f>
        <v>BOUNDARY WORKS</v>
      </c>
      <c r="C27" s="39"/>
      <c r="D27" s="187"/>
      <c r="E27" s="39"/>
      <c r="F27" s="7"/>
      <c r="G27" s="6"/>
      <c r="H27" s="6"/>
    </row>
    <row r="28" spans="1:8" s="12" customFormat="1">
      <c r="A28" s="14">
        <f>'Takeoff Sheet'!A26</f>
        <v>3.01</v>
      </c>
      <c r="B28" s="13" t="str">
        <f>'Takeoff Sheet'!B26</f>
        <v>Fencing post at least every 3 metres</v>
      </c>
      <c r="C28" s="39">
        <f>ROUND('Takeoff Sheet'!N26,0)</f>
        <v>0</v>
      </c>
      <c r="D28" s="187"/>
      <c r="E28" s="39"/>
      <c r="F28" s="7" t="str">
        <f>'Takeoff Sheet'!O26</f>
        <v>m</v>
      </c>
      <c r="G28" s="6"/>
      <c r="H28" s="6"/>
    </row>
    <row r="29" spans="1:8">
      <c r="A29" s="11">
        <f>'Takeoff Sheet'!A27</f>
        <v>0</v>
      </c>
      <c r="B29" s="10" t="str">
        <f>'Takeoff Sheet'!B27</f>
        <v>50mm Galv. pipes in posts</v>
      </c>
      <c r="C29" s="39">
        <v>20</v>
      </c>
      <c r="D29" s="187">
        <v>4</v>
      </c>
      <c r="E29" s="39">
        <f>D29*C29</f>
        <v>80</v>
      </c>
      <c r="F29" s="7" t="str">
        <f>'Takeoff Sheet'!O27</f>
        <v>Length(s)</v>
      </c>
    </row>
    <row r="30" spans="1:8">
      <c r="A30" s="11">
        <f>'Takeoff Sheet'!A28</f>
        <v>0</v>
      </c>
      <c r="B30" s="10" t="str">
        <f>'Takeoff Sheet'!B28</f>
        <v>50mm Galv. pipes in bracings</v>
      </c>
      <c r="C30" s="39">
        <v>6</v>
      </c>
      <c r="D30" s="187">
        <v>4</v>
      </c>
      <c r="E30" s="39">
        <f>D30*C30</f>
        <v>24</v>
      </c>
      <c r="F30" s="7" t="str">
        <f>'Takeoff Sheet'!O28</f>
        <v>Length(s)</v>
      </c>
    </row>
    <row r="31" spans="1:8" s="12" customFormat="1">
      <c r="A31" s="14">
        <f>'Takeoff Sheet'!A29</f>
        <v>3.02</v>
      </c>
      <c r="B31" s="13" t="str">
        <f>'Takeoff Sheet'!B29</f>
        <v>Fence siding and straining</v>
      </c>
      <c r="C31" s="39">
        <f>ROUND('Takeoff Sheet'!N29,0)</f>
        <v>0</v>
      </c>
      <c r="D31" s="187"/>
      <c r="E31" s="39"/>
      <c r="F31" s="7" t="str">
        <f>'Takeoff Sheet'!O29</f>
        <v>m</v>
      </c>
      <c r="G31" s="6"/>
      <c r="H31" s="6"/>
    </row>
    <row r="32" spans="1:8">
      <c r="A32" s="11">
        <f>'Takeoff Sheet'!A30</f>
        <v>0</v>
      </c>
      <c r="B32" s="10" t="str">
        <f>'Takeoff Sheet'!B30</f>
        <v>3' Chainlink fencing</v>
      </c>
      <c r="C32" s="39">
        <v>10</v>
      </c>
      <c r="D32" s="187">
        <v>4</v>
      </c>
      <c r="E32" s="39">
        <f>D32*C32</f>
        <v>40</v>
      </c>
      <c r="F32" s="7" t="str">
        <f>'Takeoff Sheet'!O30</f>
        <v>Rolls</v>
      </c>
    </row>
    <row r="33" spans="1:14">
      <c r="A33" s="11">
        <f>'Takeoff Sheet'!A31</f>
        <v>0</v>
      </c>
      <c r="B33" s="10" t="str">
        <f>'Takeoff Sheet'!B31</f>
        <v>3mm Galv. Straining wire</v>
      </c>
      <c r="C33" s="39">
        <v>5</v>
      </c>
      <c r="D33" s="187">
        <v>4</v>
      </c>
      <c r="E33" s="39">
        <f>D33*C33</f>
        <v>20</v>
      </c>
      <c r="F33" s="7" t="str">
        <f>'Takeoff Sheet'!O31</f>
        <v>Rolls</v>
      </c>
    </row>
    <row r="34" spans="1:14" s="12" customFormat="1">
      <c r="A34" s="14">
        <f>'Takeoff Sheet'!A32</f>
        <v>3.03</v>
      </c>
      <c r="B34" s="13" t="str">
        <f>'Takeoff Sheet'!B32</f>
        <v>25MPa Conc. in columns</v>
      </c>
      <c r="C34" s="39">
        <f>ROUND('Takeoff Sheet'!N32,0)</f>
        <v>0</v>
      </c>
      <c r="D34" s="187"/>
      <c r="E34" s="39"/>
      <c r="F34" s="7" t="str">
        <f>'Takeoff Sheet'!O32</f>
        <v>m³</v>
      </c>
      <c r="G34" s="6"/>
      <c r="H34" s="6"/>
    </row>
    <row r="35" spans="1:14">
      <c r="A35" s="11">
        <f>'Takeoff Sheet'!A33</f>
        <v>0</v>
      </c>
      <c r="B35" s="10" t="str">
        <f>'Takeoff Sheet'!B33</f>
        <v>40kg Cement</v>
      </c>
      <c r="C35" s="39">
        <v>20</v>
      </c>
      <c r="D35" s="187">
        <v>4</v>
      </c>
      <c r="E35" s="39">
        <f>D35*C35</f>
        <v>80</v>
      </c>
      <c r="F35" s="7" t="str">
        <f>'Takeoff Sheet'!O33</f>
        <v>Bags</v>
      </c>
      <c r="J35" s="183"/>
    </row>
    <row r="36" spans="1:14">
      <c r="A36" s="11">
        <f>'Takeoff Sheet'!A34</f>
        <v>0</v>
      </c>
      <c r="B36" s="10" t="str">
        <f>'Takeoff Sheet'!B34</f>
        <v>Aggregate</v>
      </c>
      <c r="C36" s="39">
        <v>5</v>
      </c>
      <c r="D36" s="187">
        <v>4</v>
      </c>
      <c r="E36" s="39">
        <f>D36*C36</f>
        <v>20</v>
      </c>
      <c r="F36" s="7" t="str">
        <f>'Takeoff Sheet'!O34</f>
        <v>m³</v>
      </c>
      <c r="J36" s="183"/>
    </row>
    <row r="37" spans="1:14">
      <c r="A37" s="11">
        <f>'Takeoff Sheet'!A35</f>
        <v>0</v>
      </c>
      <c r="B37" s="10" t="str">
        <f>'Takeoff Sheet'!B35</f>
        <v>Sand</v>
      </c>
      <c r="C37" s="39">
        <v>5</v>
      </c>
      <c r="D37" s="187">
        <v>4</v>
      </c>
      <c r="E37" s="39">
        <f>D37*C37</f>
        <v>20</v>
      </c>
      <c r="F37" s="7" t="str">
        <f>'Takeoff Sheet'!O35</f>
        <v>m³</v>
      </c>
      <c r="J37" s="183"/>
    </row>
    <row r="38" spans="1:14">
      <c r="A38" s="11">
        <f>'Takeoff Sheet'!A36</f>
        <v>0</v>
      </c>
      <c r="B38" s="10"/>
      <c r="F38" s="7"/>
      <c r="N38" s="8" t="s">
        <v>337</v>
      </c>
    </row>
    <row r="39" spans="1:14" s="12" customFormat="1">
      <c r="A39" s="5">
        <f>'Takeoff Sheet'!A37</f>
        <v>0</v>
      </c>
      <c r="B39" s="13" t="str">
        <f>'Takeoff Sheet'!B37</f>
        <v>TOTAL TO SUMMARY</v>
      </c>
      <c r="C39" s="39"/>
      <c r="D39" s="187"/>
      <c r="E39" s="39"/>
      <c r="F39" s="7"/>
      <c r="G39" s="6"/>
      <c r="H39" s="6"/>
    </row>
    <row r="40" spans="1:14">
      <c r="A40" s="11"/>
      <c r="B40" s="10"/>
      <c r="F40" s="7"/>
    </row>
    <row r="41" spans="1:14" s="12" customFormat="1">
      <c r="A41" s="65">
        <f>'Takeoff Sheet'!A39</f>
        <v>4</v>
      </c>
      <c r="B41" s="65" t="str">
        <f>'Takeoff Sheet'!B39</f>
        <v>GROUNDWORKS</v>
      </c>
      <c r="C41" s="39"/>
      <c r="D41" s="187"/>
      <c r="E41" s="39"/>
      <c r="F41" s="7"/>
      <c r="G41" s="6"/>
      <c r="H41" s="6"/>
    </row>
    <row r="42" spans="1:14" s="12" customFormat="1">
      <c r="A42" s="14">
        <f>'Takeoff Sheet'!A40</f>
        <v>4.01</v>
      </c>
      <c r="B42" s="13" t="str">
        <f>'Takeoff Sheet'!B40</f>
        <v>Strutting in excavation wall supports</v>
      </c>
      <c r="C42" s="39">
        <f>ROUND('Takeoff Sheet'!N40,0)</f>
        <v>0</v>
      </c>
      <c r="D42" s="187"/>
      <c r="E42" s="39"/>
      <c r="F42" s="7" t="str">
        <f>'Takeoff Sheet'!O40</f>
        <v>m</v>
      </c>
      <c r="G42" s="6"/>
      <c r="H42" s="6"/>
    </row>
    <row r="43" spans="1:14" s="12" customFormat="1">
      <c r="A43" s="11">
        <f>'Takeoff Sheet'!A41</f>
        <v>0</v>
      </c>
      <c r="B43" s="10" t="str">
        <f>'Takeoff Sheet'!B41</f>
        <v>50x50 Non-structural pine</v>
      </c>
      <c r="C43" s="39">
        <f>ROUND('Takeoff Sheet'!N41,0)</f>
        <v>11</v>
      </c>
      <c r="D43" s="187">
        <v>4</v>
      </c>
      <c r="E43" s="39">
        <f>D43*C43</f>
        <v>44</v>
      </c>
      <c r="F43" s="7" t="str">
        <f>'Takeoff Sheet'!O41</f>
        <v>Length(s)</v>
      </c>
      <c r="G43" s="6"/>
      <c r="H43" s="6"/>
    </row>
    <row r="44" spans="1:14" s="12" customFormat="1">
      <c r="A44" s="14">
        <f>'Takeoff Sheet'!A42</f>
        <v>4.0199999999999996</v>
      </c>
      <c r="B44" s="13" t="str">
        <f>'Takeoff Sheet'!B42</f>
        <v>Siding in excavation wall supports</v>
      </c>
      <c r="C44" s="39">
        <f>ROUND('Takeoff Sheet'!N42,0)</f>
        <v>0</v>
      </c>
      <c r="D44" s="187"/>
      <c r="E44" s="39"/>
      <c r="F44" s="7" t="str">
        <f>'Takeoff Sheet'!O42</f>
        <v>m²</v>
      </c>
      <c r="G44" s="6"/>
      <c r="H44" s="6"/>
    </row>
    <row r="45" spans="1:14">
      <c r="A45" s="11">
        <f>'Takeoff Sheet'!A43</f>
        <v>0</v>
      </c>
      <c r="B45" s="10" t="str">
        <f>'Takeoff Sheet'!B43</f>
        <v>20mm Formply</v>
      </c>
      <c r="C45" s="39">
        <f>ROUND('Takeoff Sheet'!N43,0)</f>
        <v>9</v>
      </c>
      <c r="D45" s="187">
        <v>4</v>
      </c>
      <c r="E45" s="39">
        <f>D45*C45</f>
        <v>36</v>
      </c>
      <c r="F45" s="7" t="str">
        <f>'Takeoff Sheet'!O43</f>
        <v>Sheet</v>
      </c>
    </row>
    <row r="46" spans="1:14" s="12" customFormat="1">
      <c r="A46" s="14">
        <f>'Takeoff Sheet'!A44</f>
        <v>4.03</v>
      </c>
      <c r="B46" s="13" t="str">
        <f>'Takeoff Sheet'!B44</f>
        <v>Profiling and general support</v>
      </c>
      <c r="C46" s="39">
        <f>ROUND('Takeoff Sheet'!N44,0)</f>
        <v>0</v>
      </c>
      <c r="D46" s="187"/>
      <c r="E46" s="39"/>
      <c r="F46" s="7" t="str">
        <f>'Takeoff Sheet'!O44</f>
        <v>m</v>
      </c>
      <c r="G46" s="6"/>
      <c r="H46" s="6"/>
    </row>
    <row r="47" spans="1:14">
      <c r="A47" s="11">
        <f>'Takeoff Sheet'!A45</f>
        <v>0</v>
      </c>
      <c r="B47" s="10" t="str">
        <f>'Takeoff Sheet'!B45</f>
        <v>50x50 Non-structural pine</v>
      </c>
      <c r="C47" s="39">
        <f>ROUND('Takeoff Sheet'!N45,0)</f>
        <v>29</v>
      </c>
      <c r="D47" s="187">
        <v>4</v>
      </c>
      <c r="E47" s="39">
        <f>D47*C47</f>
        <v>116</v>
      </c>
      <c r="F47" s="7" t="str">
        <f>'Takeoff Sheet'!O45</f>
        <v>Length(s)</v>
      </c>
    </row>
    <row r="48" spans="1:14">
      <c r="A48" s="11">
        <f>'Takeoff Sheet'!A46</f>
        <v>0</v>
      </c>
      <c r="B48" s="10" t="str">
        <f>'Takeoff Sheet'!B46</f>
        <v>100x25 Non-structural pine</v>
      </c>
      <c r="C48" s="39">
        <f>ROUND('Takeoff Sheet'!N46,0)</f>
        <v>9</v>
      </c>
      <c r="D48" s="187">
        <v>4</v>
      </c>
      <c r="E48" s="39">
        <f>D48*C48</f>
        <v>36</v>
      </c>
      <c r="F48" s="7" t="str">
        <f>'Takeoff Sheet'!O46</f>
        <v>Length(s)</v>
      </c>
    </row>
    <row r="49" spans="1:8" s="12" customFormat="1">
      <c r="A49" s="14">
        <f>'Takeoff Sheet'!A47</f>
        <v>4.04</v>
      </c>
      <c r="B49" s="13" t="str">
        <f>'Takeoff Sheet'!B47</f>
        <v>Backfill to excavations</v>
      </c>
      <c r="C49" s="39">
        <f>ROUND('Takeoff Sheet'!N47,0)</f>
        <v>0</v>
      </c>
      <c r="D49" s="187"/>
      <c r="E49" s="39"/>
      <c r="F49" s="7" t="str">
        <f>'Takeoff Sheet'!O47</f>
        <v>m³</v>
      </c>
      <c r="G49" s="6"/>
      <c r="H49" s="6"/>
    </row>
    <row r="50" spans="1:8">
      <c r="A50" s="11">
        <f>'Takeoff Sheet'!A48</f>
        <v>0</v>
      </c>
      <c r="B50" s="10" t="str">
        <f>'Takeoff Sheet'!B48</f>
        <v>Sand</v>
      </c>
      <c r="C50" s="39">
        <v>20</v>
      </c>
      <c r="D50" s="187">
        <v>4</v>
      </c>
      <c r="E50" s="39">
        <f>D50*C50</f>
        <v>80</v>
      </c>
      <c r="F50" s="7" t="str">
        <f>'Takeoff Sheet'!O48</f>
        <v>m³</v>
      </c>
    </row>
    <row r="51" spans="1:8">
      <c r="A51" s="11"/>
      <c r="B51" s="10"/>
      <c r="F51" s="7"/>
    </row>
    <row r="52" spans="1:8">
      <c r="A52" s="11"/>
      <c r="B52" s="13" t="s">
        <v>36</v>
      </c>
      <c r="F52" s="7"/>
      <c r="H52" s="56"/>
    </row>
    <row r="53" spans="1:8">
      <c r="A53" s="11"/>
      <c r="B53" s="10"/>
      <c r="F53" s="7"/>
    </row>
    <row r="54" spans="1:8">
      <c r="A54" s="65">
        <f>'Takeoff Sheet'!A52</f>
        <v>5</v>
      </c>
      <c r="B54" s="65" t="str">
        <f>'Takeoff Sheet'!B52</f>
        <v>CONCRETE WORKS</v>
      </c>
      <c r="F54" s="7"/>
    </row>
    <row r="55" spans="1:8" s="12" customFormat="1">
      <c r="A55" s="14">
        <f>'Takeoff Sheet'!A53</f>
        <v>5.01</v>
      </c>
      <c r="B55" s="13" t="str">
        <f>'Takeoff Sheet'!B53</f>
        <v>25MPa Conc. in raft edgebeam footings</v>
      </c>
      <c r="C55" s="39">
        <f>ROUND('Takeoff Sheet'!N53,0)</f>
        <v>8</v>
      </c>
      <c r="D55" s="187">
        <v>4</v>
      </c>
      <c r="E55" s="39"/>
      <c r="F55" s="7" t="str">
        <f>'Takeoff Sheet'!O53</f>
        <v>m³</v>
      </c>
      <c r="G55" s="6"/>
      <c r="H55" s="6"/>
    </row>
    <row r="56" spans="1:8">
      <c r="A56" s="11">
        <f>'Takeoff Sheet'!A54</f>
        <v>0</v>
      </c>
      <c r="B56" s="10" t="str">
        <f>'Takeoff Sheet'!B54</f>
        <v>40kg Cement</v>
      </c>
      <c r="C56" s="39">
        <f>ROUND('Takeoff Sheet'!N54,0)</f>
        <v>74</v>
      </c>
      <c r="D56" s="187">
        <v>4</v>
      </c>
      <c r="E56" s="39">
        <f>D56*C56</f>
        <v>296</v>
      </c>
      <c r="F56" s="7" t="str">
        <f>'Takeoff Sheet'!O54</f>
        <v>Bags</v>
      </c>
    </row>
    <row r="57" spans="1:8">
      <c r="A57" s="11">
        <f>'Takeoff Sheet'!A55</f>
        <v>0</v>
      </c>
      <c r="B57" s="10" t="str">
        <f>'Takeoff Sheet'!B55</f>
        <v>Aggregate</v>
      </c>
      <c r="C57" s="39">
        <v>18</v>
      </c>
      <c r="D57" s="187">
        <v>4</v>
      </c>
      <c r="E57" s="39">
        <f>D57*C57</f>
        <v>72</v>
      </c>
      <c r="F57" s="7" t="str">
        <f>'Takeoff Sheet'!O55</f>
        <v>m³</v>
      </c>
    </row>
    <row r="58" spans="1:8">
      <c r="A58" s="11">
        <f>'Takeoff Sheet'!A56</f>
        <v>0</v>
      </c>
      <c r="B58" s="10" t="str">
        <f>'Takeoff Sheet'!B56</f>
        <v>Sand</v>
      </c>
      <c r="C58" s="39">
        <v>12</v>
      </c>
      <c r="D58" s="187">
        <v>4</v>
      </c>
      <c r="E58" s="39">
        <f>D58*C58</f>
        <v>48</v>
      </c>
      <c r="F58" s="7" t="str">
        <f>'Takeoff Sheet'!O56</f>
        <v>m³</v>
      </c>
    </row>
    <row r="59" spans="1:8" s="12" customFormat="1">
      <c r="A59" s="14">
        <f>'Takeoff Sheet'!A57</f>
        <v>5.0199999999999996</v>
      </c>
      <c r="B59" s="13" t="str">
        <f>'Takeoff Sheet'!B57</f>
        <v>25MPa Conc. in raft thickening footings</v>
      </c>
      <c r="C59" s="39">
        <f>ROUND('Takeoff Sheet'!N57,0)</f>
        <v>3</v>
      </c>
      <c r="D59" s="187">
        <v>4</v>
      </c>
      <c r="E59" s="39"/>
      <c r="F59" s="7" t="str">
        <f>'Takeoff Sheet'!O57</f>
        <v>m³</v>
      </c>
      <c r="G59" s="6"/>
      <c r="H59" s="6"/>
    </row>
    <row r="60" spans="1:8">
      <c r="A60" s="11">
        <f>'Takeoff Sheet'!A58</f>
        <v>0</v>
      </c>
      <c r="B60" s="10" t="str">
        <f>'Takeoff Sheet'!B58</f>
        <v>40kg Cement</v>
      </c>
      <c r="C60" s="39">
        <v>31</v>
      </c>
      <c r="D60" s="187">
        <v>4</v>
      </c>
      <c r="E60" s="39">
        <f>D60*C60</f>
        <v>124</v>
      </c>
      <c r="F60" s="7" t="str">
        <f>'Takeoff Sheet'!O58</f>
        <v>Bags</v>
      </c>
    </row>
    <row r="61" spans="1:8">
      <c r="A61" s="11">
        <f>'Takeoff Sheet'!A59</f>
        <v>0</v>
      </c>
      <c r="B61" s="10" t="str">
        <f>'Takeoff Sheet'!B59</f>
        <v>Aggregate</v>
      </c>
      <c r="C61" s="39">
        <v>12</v>
      </c>
      <c r="D61" s="187">
        <v>4</v>
      </c>
      <c r="E61" s="39">
        <f>D61*C61</f>
        <v>48</v>
      </c>
      <c r="F61" s="7" t="str">
        <f>'Takeoff Sheet'!O59</f>
        <v>m³</v>
      </c>
    </row>
    <row r="62" spans="1:8" s="12" customFormat="1">
      <c r="A62" s="11">
        <f>'Takeoff Sheet'!A60</f>
        <v>0</v>
      </c>
      <c r="B62" s="10" t="str">
        <f>'Takeoff Sheet'!B60</f>
        <v>Sand</v>
      </c>
      <c r="C62" s="39">
        <v>8</v>
      </c>
      <c r="D62" s="187">
        <v>4</v>
      </c>
      <c r="E62" s="39">
        <f>D62*C62</f>
        <v>32</v>
      </c>
      <c r="F62" s="7" t="str">
        <f>'Takeoff Sheet'!O60</f>
        <v>m³</v>
      </c>
      <c r="G62" s="6"/>
      <c r="H62" s="6"/>
    </row>
    <row r="63" spans="1:8" s="12" customFormat="1">
      <c r="A63" s="14">
        <f>'Takeoff Sheet'!A61</f>
        <v>5.03</v>
      </c>
      <c r="B63" s="13" t="str">
        <f>'Takeoff Sheet'!B61</f>
        <v>25MPa Conc. in floor slabs</v>
      </c>
      <c r="C63" s="39">
        <f>ROUND('Takeoff Sheet'!N61,0)</f>
        <v>11</v>
      </c>
      <c r="D63" s="187">
        <v>4</v>
      </c>
      <c r="E63" s="39"/>
      <c r="F63" s="7" t="str">
        <f>'Takeoff Sheet'!O61</f>
        <v>m³</v>
      </c>
      <c r="G63" s="6"/>
      <c r="H63" s="6"/>
    </row>
    <row r="64" spans="1:8">
      <c r="A64" s="11">
        <f>'Takeoff Sheet'!A62</f>
        <v>0</v>
      </c>
      <c r="B64" s="10" t="str">
        <f>'Takeoff Sheet'!B62</f>
        <v>40kg Cement</v>
      </c>
      <c r="C64" s="39">
        <v>99</v>
      </c>
      <c r="D64" s="187">
        <v>4</v>
      </c>
      <c r="E64" s="39">
        <f>D64*C64</f>
        <v>396</v>
      </c>
      <c r="F64" s="7" t="str">
        <f>'Takeoff Sheet'!O62</f>
        <v>Bags</v>
      </c>
    </row>
    <row r="65" spans="1:8">
      <c r="A65" s="11">
        <f>'Takeoff Sheet'!A63</f>
        <v>0</v>
      </c>
      <c r="B65" s="10" t="str">
        <f>'Takeoff Sheet'!B63</f>
        <v>Aggregate</v>
      </c>
      <c r="C65" s="39">
        <v>12</v>
      </c>
      <c r="D65" s="187">
        <v>4</v>
      </c>
      <c r="E65" s="39">
        <f>D65*C65</f>
        <v>48</v>
      </c>
      <c r="F65" s="7" t="str">
        <f>'Takeoff Sheet'!O63</f>
        <v>m³</v>
      </c>
    </row>
    <row r="66" spans="1:8" s="12" customFormat="1">
      <c r="A66" s="11">
        <f>'Takeoff Sheet'!A64</f>
        <v>0</v>
      </c>
      <c r="B66" s="10" t="str">
        <f>'Takeoff Sheet'!B64</f>
        <v>Sand</v>
      </c>
      <c r="C66" s="39">
        <v>8</v>
      </c>
      <c r="D66" s="187">
        <v>4</v>
      </c>
      <c r="E66" s="39">
        <f>D66*C66</f>
        <v>32</v>
      </c>
      <c r="F66" s="7" t="str">
        <f>'Takeoff Sheet'!O64</f>
        <v>m³</v>
      </c>
      <c r="G66" s="6"/>
      <c r="H66" s="6"/>
    </row>
    <row r="67" spans="1:8" s="12" customFormat="1">
      <c r="A67" s="14">
        <f>'Takeoff Sheet'!A65</f>
        <v>5.04</v>
      </c>
      <c r="B67" s="13" t="str">
        <f>'Takeoff Sheet'!B65</f>
        <v>25MPa Conc. in External wall</v>
      </c>
      <c r="C67" s="39">
        <f>ROUND('Takeoff Sheet'!N65,0)</f>
        <v>12</v>
      </c>
      <c r="D67" s="187">
        <v>4</v>
      </c>
      <c r="E67" s="39"/>
      <c r="F67" s="7" t="str">
        <f>'Takeoff Sheet'!O65</f>
        <v>m³</v>
      </c>
      <c r="G67" s="6"/>
      <c r="H67" s="6"/>
    </row>
    <row r="68" spans="1:8">
      <c r="A68" s="11">
        <f>'Takeoff Sheet'!A66</f>
        <v>0</v>
      </c>
      <c r="B68" s="10" t="str">
        <f>'Takeoff Sheet'!B66</f>
        <v>40kg Cement</v>
      </c>
      <c r="C68" s="39">
        <v>104</v>
      </c>
      <c r="D68" s="187">
        <v>4</v>
      </c>
      <c r="E68" s="39">
        <f>D68*C68</f>
        <v>416</v>
      </c>
      <c r="F68" s="7" t="str">
        <f>'Takeoff Sheet'!O66</f>
        <v>Bags</v>
      </c>
    </row>
    <row r="69" spans="1:8" s="12" customFormat="1">
      <c r="A69" s="11">
        <f>'Takeoff Sheet'!A67</f>
        <v>0</v>
      </c>
      <c r="B69" s="10" t="str">
        <f>'Takeoff Sheet'!B67</f>
        <v>Aggregate</v>
      </c>
      <c r="C69" s="39">
        <v>50</v>
      </c>
      <c r="D69" s="187">
        <v>4</v>
      </c>
      <c r="E69" s="39">
        <f>D69*C69</f>
        <v>200</v>
      </c>
      <c r="F69" s="7" t="str">
        <f>'Takeoff Sheet'!O67</f>
        <v>m³</v>
      </c>
      <c r="G69" s="6"/>
      <c r="H69" s="6"/>
    </row>
    <row r="70" spans="1:8">
      <c r="A70" s="11">
        <f>'Takeoff Sheet'!A68</f>
        <v>0</v>
      </c>
      <c r="B70" s="10" t="str">
        <f>'Takeoff Sheet'!B68</f>
        <v>Sand</v>
      </c>
      <c r="C70" s="39">
        <v>42</v>
      </c>
      <c r="D70" s="187">
        <v>4</v>
      </c>
      <c r="E70" s="39">
        <f>D70*C70</f>
        <v>168</v>
      </c>
      <c r="F70" s="7" t="str">
        <f>'Takeoff Sheet'!O68</f>
        <v>m³</v>
      </c>
    </row>
    <row r="71" spans="1:8">
      <c r="A71" s="167">
        <f>'Takeoff Sheet'!A69</f>
        <v>5.05</v>
      </c>
      <c r="B71" s="168" t="str">
        <f>'Takeoff Sheet'!B69</f>
        <v>25MPa Conc. In Internal walls</v>
      </c>
      <c r="C71" s="167">
        <f>'Takeoff Sheet'!N69</f>
        <v>9.2800000000000011</v>
      </c>
      <c r="D71" s="193"/>
      <c r="E71" s="167"/>
      <c r="F71" s="167" t="str">
        <f>'Takeoff Sheet'!O69</f>
        <v>m³</v>
      </c>
    </row>
    <row r="72" spans="1:8">
      <c r="A72" s="11"/>
      <c r="B72" s="10" t="str">
        <f>'Takeoff Sheet'!B70</f>
        <v>40kg Cement</v>
      </c>
      <c r="C72" s="39">
        <v>82</v>
      </c>
      <c r="D72" s="187">
        <v>4</v>
      </c>
      <c r="E72" s="39">
        <f>D72*C72</f>
        <v>328</v>
      </c>
      <c r="F72" s="7" t="str">
        <f>'Takeoff Sheet'!O70</f>
        <v>Bags</v>
      </c>
    </row>
    <row r="73" spans="1:8">
      <c r="A73" s="11"/>
      <c r="B73" s="10" t="str">
        <f>'Takeoff Sheet'!B71</f>
        <v>Aggregate</v>
      </c>
      <c r="C73" s="39">
        <v>50</v>
      </c>
      <c r="D73" s="187">
        <v>4</v>
      </c>
      <c r="E73" s="39">
        <f>D73*C73</f>
        <v>200</v>
      </c>
      <c r="F73" s="7" t="str">
        <f>'Takeoff Sheet'!O71</f>
        <v>m³</v>
      </c>
    </row>
    <row r="74" spans="1:8">
      <c r="A74" s="11"/>
      <c r="B74" s="10" t="str">
        <f>'Takeoff Sheet'!B72</f>
        <v>Sand</v>
      </c>
      <c r="C74" s="39">
        <v>42</v>
      </c>
      <c r="D74" s="187">
        <v>4</v>
      </c>
      <c r="E74" s="39">
        <f>D74*C74</f>
        <v>168</v>
      </c>
      <c r="F74" s="7" t="str">
        <f>'Takeoff Sheet'!O72</f>
        <v>m³</v>
      </c>
    </row>
    <row r="75" spans="1:8">
      <c r="A75" s="11"/>
      <c r="B75" s="10"/>
      <c r="F75" s="7"/>
    </row>
    <row r="76" spans="1:8">
      <c r="A76" s="167">
        <f>'Takeoff Sheet'!A73</f>
        <v>5.0599999999999996</v>
      </c>
      <c r="B76" s="168" t="str">
        <f>'Takeoff Sheet'!B73</f>
        <v>Cement-sand plaster in rendered brickwalls</v>
      </c>
      <c r="C76" s="167">
        <f>'Takeoff Sheet'!N73</f>
        <v>2.1150000000000002</v>
      </c>
      <c r="D76" s="193"/>
      <c r="E76" s="167"/>
      <c r="F76" s="167" t="str">
        <f>'Takeoff Sheet'!O73</f>
        <v>m²</v>
      </c>
    </row>
    <row r="77" spans="1:8">
      <c r="A77" s="11"/>
      <c r="B77" s="10" t="str">
        <f>B72</f>
        <v>40kg Cement</v>
      </c>
      <c r="C77" s="39">
        <v>19</v>
      </c>
      <c r="D77" s="187">
        <v>4</v>
      </c>
      <c r="E77" s="39">
        <f>D77*C77</f>
        <v>76</v>
      </c>
      <c r="F77" s="7" t="str">
        <f>'Takeoff Sheet'!O74</f>
        <v>Bags</v>
      </c>
    </row>
    <row r="78" spans="1:8">
      <c r="A78" s="11"/>
      <c r="B78" s="10" t="str">
        <f>B74</f>
        <v>Sand</v>
      </c>
      <c r="C78" s="39">
        <v>5</v>
      </c>
      <c r="D78" s="187">
        <v>4</v>
      </c>
      <c r="E78" s="39">
        <f>D78*C78</f>
        <v>20</v>
      </c>
      <c r="F78" s="7" t="str">
        <f>'Takeoff Sheet'!O75</f>
        <v>m³</v>
      </c>
    </row>
    <row r="79" spans="1:8">
      <c r="A79" s="11"/>
      <c r="B79" s="10"/>
      <c r="F79" s="7"/>
    </row>
    <row r="80" spans="1:8" s="12" customFormat="1">
      <c r="A80" s="14">
        <f>'Takeoff Sheet'!A76</f>
        <v>5.07</v>
      </c>
      <c r="B80" s="13" t="str">
        <f>'Takeoff Sheet'!B76</f>
        <v>Damp-proofing membrane</v>
      </c>
      <c r="C80" s="39"/>
      <c r="D80" s="187"/>
      <c r="E80" s="39"/>
      <c r="F80" s="7"/>
      <c r="G80" s="6"/>
      <c r="H80" s="6"/>
    </row>
    <row r="81" spans="1:10" s="12" customFormat="1">
      <c r="A81" s="11">
        <f>'Takeoff Sheet'!A77</f>
        <v>0</v>
      </c>
      <c r="B81" s="10" t="str">
        <f>'Takeoff Sheet'!B77</f>
        <v>Gauge 75 Fortecon Sheet or equivalent 20m/ROLL</v>
      </c>
      <c r="C81" s="39">
        <v>6</v>
      </c>
      <c r="D81" s="187">
        <v>4</v>
      </c>
      <c r="E81" s="39">
        <f>D81*C81</f>
        <v>24</v>
      </c>
      <c r="F81" s="7" t="str">
        <f>'Takeoff Sheet'!O77</f>
        <v>Rolls</v>
      </c>
      <c r="G81" s="6"/>
      <c r="H81" s="6"/>
    </row>
    <row r="82" spans="1:10" s="12" customFormat="1">
      <c r="A82" s="11"/>
      <c r="B82" s="10" t="str">
        <f>'Takeoff Sheet'!B78</f>
        <v>Polyethene</v>
      </c>
      <c r="C82" s="39">
        <v>6</v>
      </c>
      <c r="D82" s="187">
        <v>4</v>
      </c>
      <c r="E82" s="39">
        <f>D82*C82</f>
        <v>24</v>
      </c>
      <c r="F82" s="7" t="str">
        <f>'Takeoff Sheet'!O78</f>
        <v>Rolls</v>
      </c>
      <c r="G82" s="6"/>
      <c r="H82" s="6"/>
    </row>
    <row r="83" spans="1:10" s="12" customFormat="1">
      <c r="A83" s="11"/>
      <c r="B83" s="10"/>
      <c r="C83" s="39"/>
      <c r="D83" s="187"/>
      <c r="E83" s="39"/>
      <c r="F83" s="7"/>
      <c r="G83" s="6"/>
      <c r="H83" s="6"/>
    </row>
    <row r="84" spans="1:10" s="12" customFormat="1">
      <c r="A84" s="167">
        <f>'Takeoff Sheet'!A79</f>
        <v>5.08</v>
      </c>
      <c r="B84" s="168" t="str">
        <f>'Takeoff Sheet'!B79</f>
        <v>Base and Floor of Tank Stand</v>
      </c>
      <c r="C84" s="39">
        <f>'Takeoff Sheet'!N79</f>
        <v>1.5972000000000002</v>
      </c>
      <c r="D84" s="187"/>
      <c r="E84" s="39"/>
      <c r="F84" s="7" t="str">
        <f>'Takeoff Sheet'!O79</f>
        <v>m³</v>
      </c>
      <c r="G84" s="6"/>
      <c r="H84" s="6"/>
    </row>
    <row r="85" spans="1:10" s="12" customFormat="1">
      <c r="A85" s="11"/>
      <c r="B85" s="10" t="str">
        <f>B72</f>
        <v>40kg Cement</v>
      </c>
      <c r="C85" s="39">
        <v>18</v>
      </c>
      <c r="D85" s="187">
        <v>4</v>
      </c>
      <c r="E85" s="39">
        <f>D85*C85</f>
        <v>72</v>
      </c>
      <c r="F85" s="7" t="str">
        <f>'Takeoff Sheet'!O80</f>
        <v>Bags</v>
      </c>
      <c r="G85" s="6"/>
      <c r="H85" s="6"/>
    </row>
    <row r="86" spans="1:10" s="12" customFormat="1">
      <c r="A86" s="11"/>
      <c r="B86" s="10" t="str">
        <f>B69</f>
        <v>Aggregate</v>
      </c>
      <c r="C86" s="39">
        <v>1</v>
      </c>
      <c r="D86" s="187">
        <v>4</v>
      </c>
      <c r="E86" s="39">
        <f>D86*C86</f>
        <v>4</v>
      </c>
      <c r="F86" s="7" t="str">
        <f>'Takeoff Sheet'!O81</f>
        <v>m³</v>
      </c>
      <c r="G86" s="6"/>
      <c r="H86" s="6"/>
    </row>
    <row r="87" spans="1:10" s="12" customFormat="1">
      <c r="A87" s="11"/>
      <c r="B87" s="10" t="str">
        <f>B70</f>
        <v>Sand</v>
      </c>
      <c r="C87" s="39">
        <v>1</v>
      </c>
      <c r="D87" s="187">
        <v>4</v>
      </c>
      <c r="E87" s="39">
        <f>D87*C87</f>
        <v>4</v>
      </c>
      <c r="F87" s="7" t="str">
        <f>'Takeoff Sheet'!O82</f>
        <v>m³</v>
      </c>
      <c r="G87" s="6"/>
      <c r="H87" s="6"/>
    </row>
    <row r="88" spans="1:10" s="12" customFormat="1">
      <c r="A88" s="11"/>
      <c r="B88" s="10"/>
      <c r="C88" s="39"/>
      <c r="D88" s="187"/>
      <c r="E88" s="39"/>
      <c r="F88" s="7"/>
      <c r="G88" s="6"/>
      <c r="H88" s="6"/>
    </row>
    <row r="89" spans="1:10" s="12" customFormat="1">
      <c r="A89" s="11"/>
      <c r="B89" s="168" t="s">
        <v>338</v>
      </c>
      <c r="C89" s="39"/>
      <c r="D89" s="187"/>
      <c r="E89" s="39"/>
      <c r="F89" s="7"/>
      <c r="G89" s="6"/>
      <c r="H89" s="6"/>
    </row>
    <row r="90" spans="1:10" s="12" customFormat="1">
      <c r="A90" s="11"/>
      <c r="B90" s="10" t="s">
        <v>339</v>
      </c>
      <c r="C90" s="39"/>
      <c r="D90" s="187"/>
      <c r="E90" s="39">
        <v>1788</v>
      </c>
      <c r="F90" s="7"/>
      <c r="G90" s="6"/>
      <c r="H90" s="6"/>
      <c r="J90" s="197"/>
    </row>
    <row r="91" spans="1:10" s="12" customFormat="1">
      <c r="A91" s="11"/>
      <c r="B91" s="10" t="s">
        <v>34</v>
      </c>
      <c r="C91" s="39"/>
      <c r="D91" s="187"/>
      <c r="E91" s="39">
        <v>592</v>
      </c>
      <c r="F91" s="7"/>
      <c r="G91" s="6"/>
      <c r="H91" s="6"/>
      <c r="J91" s="197"/>
    </row>
    <row r="92" spans="1:10" s="12" customFormat="1">
      <c r="A92" s="11"/>
      <c r="B92" s="10" t="s">
        <v>35</v>
      </c>
      <c r="C92" s="39"/>
      <c r="D92" s="187"/>
      <c r="E92" s="39">
        <v>572</v>
      </c>
      <c r="F92" s="7"/>
      <c r="G92" s="6"/>
      <c r="H92" s="6"/>
      <c r="J92" s="197"/>
    </row>
    <row r="93" spans="1:10" s="12" customFormat="1">
      <c r="A93" s="11"/>
      <c r="B93" s="10"/>
      <c r="C93" s="39"/>
      <c r="D93" s="187"/>
      <c r="E93" s="39"/>
      <c r="F93" s="7"/>
      <c r="G93" s="6"/>
      <c r="H93" s="6"/>
    </row>
    <row r="94" spans="1:10" s="12" customFormat="1">
      <c r="A94" s="11"/>
      <c r="B94" s="10"/>
      <c r="C94" s="39"/>
      <c r="D94" s="187"/>
      <c r="E94" s="39"/>
      <c r="F94" s="7"/>
      <c r="G94" s="6"/>
      <c r="H94" s="6"/>
    </row>
    <row r="95" spans="1:10" s="12" customFormat="1">
      <c r="A95" s="65">
        <f>'Takeoff Sheet'!A84</f>
        <v>6</v>
      </c>
      <c r="B95" s="65" t="str">
        <f>'Takeoff Sheet'!B84</f>
        <v>STEELWORKS</v>
      </c>
      <c r="C95" s="39"/>
      <c r="D95" s="187"/>
      <c r="E95" s="39"/>
      <c r="F95" s="7"/>
      <c r="G95" s="6"/>
      <c r="H95" s="6"/>
    </row>
    <row r="96" spans="1:10" s="12" customFormat="1">
      <c r="A96" s="14">
        <f>'Takeoff Sheet'!A85</f>
        <v>6.01</v>
      </c>
      <c r="B96" s="13" t="str">
        <f>'Takeoff Sheet'!B85</f>
        <v>ØD12mm reinforcing in 25MPa conc. raft edgebeam footings</v>
      </c>
      <c r="C96" s="39">
        <f>ROUND('Takeoff Sheet'!N85,0)</f>
        <v>672</v>
      </c>
      <c r="D96" s="187"/>
      <c r="E96" s="39"/>
      <c r="F96" s="7" t="str">
        <f>'Takeoff Sheet'!O85</f>
        <v>m</v>
      </c>
      <c r="G96" s="6"/>
      <c r="H96" s="6"/>
    </row>
    <row r="97" spans="1:8">
      <c r="A97" s="11">
        <f>'Takeoff Sheet'!A86</f>
        <v>0</v>
      </c>
      <c r="B97" s="10" t="str">
        <f>'Takeoff Sheet'!B86</f>
        <v>Ø12mm Deformed rebars</v>
      </c>
      <c r="C97" s="39">
        <v>127</v>
      </c>
      <c r="D97" s="187">
        <v>4</v>
      </c>
      <c r="E97" s="39">
        <f>D97*C97</f>
        <v>508</v>
      </c>
      <c r="F97" s="7" t="str">
        <f>'Takeoff Sheet'!O86</f>
        <v>Length(s)</v>
      </c>
    </row>
    <row r="98" spans="1:8">
      <c r="A98" s="11">
        <f>'Takeoff Sheet'!A87</f>
        <v>0</v>
      </c>
      <c r="B98" s="10"/>
      <c r="F98" s="7"/>
    </row>
    <row r="99" spans="1:8" s="12" customFormat="1">
      <c r="A99" s="14">
        <f>'Takeoff Sheet'!A88</f>
        <v>6.02</v>
      </c>
      <c r="B99" s="13" t="str">
        <f>'Takeoff Sheet'!B88</f>
        <v>ØD12mm reinforcing in 25MPa conc. raft thickening footings</v>
      </c>
      <c r="C99" s="39">
        <f>ROUND('Takeoff Sheet'!N88,0)</f>
        <v>128</v>
      </c>
      <c r="D99" s="187"/>
      <c r="E99" s="39"/>
      <c r="F99" s="7" t="str">
        <f>'Takeoff Sheet'!O88</f>
        <v>m</v>
      </c>
      <c r="G99" s="6"/>
      <c r="H99" s="6"/>
    </row>
    <row r="100" spans="1:8">
      <c r="A100" s="11">
        <f>'Takeoff Sheet'!A89</f>
        <v>0</v>
      </c>
      <c r="B100" s="10" t="str">
        <f>'Takeoff Sheet'!B89</f>
        <v>Ø12mm Deformed rebars</v>
      </c>
      <c r="C100" s="39">
        <v>24</v>
      </c>
      <c r="D100" s="187">
        <v>4</v>
      </c>
      <c r="E100" s="39">
        <f>D100*C100</f>
        <v>96</v>
      </c>
      <c r="F100" s="7" t="str">
        <f>'Takeoff Sheet'!O89</f>
        <v>Length(s)</v>
      </c>
    </row>
    <row r="101" spans="1:8">
      <c r="A101" s="11">
        <f>'Takeoff Sheet'!A90</f>
        <v>0</v>
      </c>
      <c r="B101" s="10"/>
      <c r="F101" s="7"/>
    </row>
    <row r="102" spans="1:8" s="12" customFormat="1">
      <c r="A102" s="14">
        <f>'Takeoff Sheet'!A91</f>
        <v>6.03</v>
      </c>
      <c r="B102" s="13" t="str">
        <f>'Takeoff Sheet'!B91</f>
        <v>ØD12mm reinforcing in 25MPa conc. Starter bars</v>
      </c>
      <c r="C102" s="39">
        <f>ROUND('Takeoff Sheet'!N91,0)</f>
        <v>450</v>
      </c>
      <c r="D102" s="187"/>
      <c r="E102" s="39"/>
      <c r="F102" s="7" t="str">
        <f>'Takeoff Sheet'!O91</f>
        <v>m</v>
      </c>
      <c r="G102" s="6"/>
      <c r="H102" s="6"/>
    </row>
    <row r="103" spans="1:8">
      <c r="A103" s="11">
        <f>'Takeoff Sheet'!A92</f>
        <v>0</v>
      </c>
      <c r="B103" s="10" t="str">
        <f>'Takeoff Sheet'!B92</f>
        <v>Ø12mm Deformed rebars</v>
      </c>
      <c r="C103" s="39">
        <f>ROUND('Takeoff Sheet'!N92,0)</f>
        <v>85</v>
      </c>
      <c r="D103" s="187">
        <v>4</v>
      </c>
      <c r="E103" s="39">
        <f>D103*C103</f>
        <v>340</v>
      </c>
      <c r="F103" s="7" t="str">
        <f>'Takeoff Sheet'!O92</f>
        <v>Length(s)</v>
      </c>
    </row>
    <row r="104" spans="1:8">
      <c r="A104" s="11"/>
      <c r="B104" s="10"/>
      <c r="F104" s="7"/>
    </row>
    <row r="105" spans="1:8" s="12" customFormat="1">
      <c r="A105" s="14">
        <f>'Takeoff Sheet'!A94</f>
        <v>6.04</v>
      </c>
      <c r="B105" s="13" t="str">
        <f>'Takeoff Sheet'!B94</f>
        <v>ØR6mm reinforcing in 25MPa conc. raft edgebeam footings</v>
      </c>
      <c r="C105" s="39">
        <f>ROUND('Takeoff Sheet'!N94,0)</f>
        <v>210</v>
      </c>
      <c r="D105" s="187"/>
      <c r="E105" s="39"/>
      <c r="F105" s="7" t="str">
        <f>'Takeoff Sheet'!O94</f>
        <v>m</v>
      </c>
      <c r="G105" s="6"/>
      <c r="H105" s="6"/>
    </row>
    <row r="106" spans="1:8">
      <c r="A106" s="11">
        <f>'Takeoff Sheet'!A95</f>
        <v>0</v>
      </c>
      <c r="B106" s="10" t="str">
        <f>'Takeoff Sheet'!B95</f>
        <v>Ø6mm Round stirrup rebars</v>
      </c>
      <c r="C106" s="39">
        <f>ROUND('Takeoff Sheet'!N95,0)</f>
        <v>40</v>
      </c>
      <c r="D106" s="187">
        <v>4</v>
      </c>
      <c r="E106" s="39">
        <f>D106*C106</f>
        <v>160</v>
      </c>
      <c r="F106" s="7" t="str">
        <f>'Takeoff Sheet'!O95</f>
        <v>Length(s)</v>
      </c>
    </row>
    <row r="107" spans="1:8">
      <c r="A107" s="11"/>
      <c r="B107" s="10"/>
      <c r="F107" s="7"/>
    </row>
    <row r="108" spans="1:8" s="12" customFormat="1">
      <c r="A108" s="14">
        <f>'Takeoff Sheet'!A97</f>
        <v>6.05</v>
      </c>
      <c r="B108" s="13" t="str">
        <f>'Takeoff Sheet'!B97</f>
        <v>ØR6mm reinforcing in 25MPa conc. raft thickening footings</v>
      </c>
      <c r="C108" s="39">
        <f>ROUND('Takeoff Sheet'!N97,0)</f>
        <v>160</v>
      </c>
      <c r="D108" s="187"/>
      <c r="E108" s="39"/>
      <c r="F108" s="7" t="str">
        <f>'Takeoff Sheet'!O97</f>
        <v>m</v>
      </c>
      <c r="G108" s="6"/>
      <c r="H108" s="6"/>
    </row>
    <row r="109" spans="1:8">
      <c r="A109" s="11">
        <f>'Takeoff Sheet'!A98</f>
        <v>0</v>
      </c>
      <c r="B109" s="10" t="str">
        <f>'Takeoff Sheet'!B98</f>
        <v>Ø6mm Round stirrup rebars</v>
      </c>
      <c r="C109" s="39">
        <f>ROUND('Takeoff Sheet'!N98,0)</f>
        <v>30</v>
      </c>
      <c r="D109" s="187">
        <v>4</v>
      </c>
      <c r="E109" s="39">
        <f>D109*C109</f>
        <v>120</v>
      </c>
      <c r="F109" s="7" t="str">
        <f>'Takeoff Sheet'!O98</f>
        <v>Length(s)</v>
      </c>
    </row>
    <row r="110" spans="1:8">
      <c r="A110" s="11"/>
      <c r="B110" s="10"/>
      <c r="F110" s="7"/>
    </row>
    <row r="111" spans="1:8">
      <c r="A111" s="14">
        <f>'Takeoff Sheet'!A100</f>
        <v>6.06</v>
      </c>
      <c r="B111" s="13" t="str">
        <f>'Takeoff Sheet'!B100</f>
        <v>Tie wire</v>
      </c>
      <c r="F111" s="7"/>
    </row>
    <row r="112" spans="1:8">
      <c r="A112" s="9">
        <f>'Takeoff Sheet'!A101</f>
        <v>0</v>
      </c>
      <c r="B112" s="10" t="str">
        <f>'Takeoff Sheet'!B101</f>
        <v>Galv. Tie wire</v>
      </c>
      <c r="C112" s="39">
        <f>'Takeoff Sheet'!N101</f>
        <v>10</v>
      </c>
      <c r="D112" s="187">
        <v>4</v>
      </c>
      <c r="E112" s="39">
        <f>D112*C112</f>
        <v>40</v>
      </c>
      <c r="F112" s="7" t="str">
        <f>'Takeoff Sheet'!O101</f>
        <v>Kg</v>
      </c>
    </row>
    <row r="113" spans="1:8">
      <c r="F113" s="7"/>
    </row>
    <row r="114" spans="1:8">
      <c r="A114" s="14">
        <f>'Takeoff Sheet'!A103</f>
        <v>6.07</v>
      </c>
      <c r="B114" s="13" t="str">
        <f>'Takeoff Sheet'!B103</f>
        <v>WIRE MESH SL102 ‐ 4.65mtr x 1.97mtr/sht</v>
      </c>
      <c r="C114" s="39">
        <f>'Takeoff Sheet'!N107</f>
        <v>369.6</v>
      </c>
      <c r="F114" s="7" t="str">
        <f>'Takeoff Sheet'!O107</f>
        <v>m²</v>
      </c>
    </row>
    <row r="115" spans="1:8">
      <c r="B115" s="6" t="str">
        <f>'Takeoff Sheet'!B103</f>
        <v>WIRE MESH SL102 ‐ 4.65mtr x 1.97mtr/sht</v>
      </c>
      <c r="C115" s="39">
        <v>40</v>
      </c>
      <c r="D115" s="187">
        <v>4</v>
      </c>
      <c r="E115" s="39">
        <f>D115*C115</f>
        <v>160</v>
      </c>
      <c r="F115" s="7" t="s">
        <v>324</v>
      </c>
    </row>
    <row r="116" spans="1:8">
      <c r="F116" s="7"/>
    </row>
    <row r="117" spans="1:8">
      <c r="B117" s="56" t="s">
        <v>36</v>
      </c>
      <c r="F117" s="7"/>
      <c r="H117" s="56"/>
    </row>
    <row r="118" spans="1:8">
      <c r="F118" s="7"/>
    </row>
    <row r="119" spans="1:8">
      <c r="A119" s="65">
        <f>'Takeoff Sheet'!A109</f>
        <v>7</v>
      </c>
      <c r="B119" s="65" t="str">
        <f>'Takeoff Sheet'!B109</f>
        <v>BRICKWORK</v>
      </c>
      <c r="C119" s="39">
        <f>'Takeoff Sheet'!N111</f>
        <v>9.6800000000000015</v>
      </c>
      <c r="F119" s="7" t="str">
        <f>'Takeoff Sheet'!O111</f>
        <v>m²</v>
      </c>
    </row>
    <row r="120" spans="1:8">
      <c r="B120" s="6" t="str">
        <f>'Takeoff Sheet'!B110</f>
        <v>8' Concrete blocks</v>
      </c>
      <c r="C120" s="39">
        <v>161</v>
      </c>
      <c r="D120" s="187">
        <v>4</v>
      </c>
      <c r="E120" s="39">
        <f>D120*C120</f>
        <v>644</v>
      </c>
      <c r="F120" s="7" t="s">
        <v>4</v>
      </c>
    </row>
    <row r="121" spans="1:8">
      <c r="F121" s="7"/>
    </row>
    <row r="122" spans="1:8">
      <c r="B122" s="56" t="s">
        <v>36</v>
      </c>
      <c r="F122" s="7"/>
      <c r="H122" s="56"/>
    </row>
    <row r="123" spans="1:8">
      <c r="F123" s="7"/>
    </row>
    <row r="124" spans="1:8">
      <c r="A124" s="65">
        <f>'Takeoff Sheet'!A119</f>
        <v>8</v>
      </c>
      <c r="B124" s="65" t="str">
        <f>'Takeoff Sheet'!B119</f>
        <v>TIMBERWORKS</v>
      </c>
      <c r="F124" s="7"/>
    </row>
    <row r="125" spans="1:8" hidden="1">
      <c r="A125" s="14">
        <f>'Takeoff Sheet'!A120</f>
        <v>8.01</v>
      </c>
      <c r="B125" s="63" t="str">
        <f>'Takeoff Sheet'!B120</f>
        <v>RS 300x50 H3 Treated Pine timber</v>
      </c>
      <c r="C125" s="63">
        <f>'Takeoff Sheet'!N120</f>
        <v>0</v>
      </c>
      <c r="D125" s="194"/>
      <c r="E125" s="63"/>
      <c r="F125" s="63" t="s">
        <v>2</v>
      </c>
      <c r="G125" s="63"/>
      <c r="H125" s="54"/>
    </row>
    <row r="126" spans="1:8" hidden="1">
      <c r="A126" s="54"/>
      <c r="B126" s="6" t="s">
        <v>264</v>
      </c>
      <c r="C126" s="39">
        <f>ROUND('Takeoff Sheet'!N121,0)</f>
        <v>0</v>
      </c>
      <c r="F126" s="7" t="s">
        <v>265</v>
      </c>
    </row>
    <row r="127" spans="1:8" hidden="1">
      <c r="A127" s="54"/>
      <c r="B127" s="54"/>
      <c r="F127" s="7"/>
    </row>
    <row r="128" spans="1:8" hidden="1">
      <c r="A128" s="14">
        <f>'Takeoff Sheet'!A123</f>
        <v>8.02</v>
      </c>
      <c r="B128" s="9" t="str">
        <f>'Takeoff Sheet'!B123</f>
        <v>DAS 295x45 H3 Treated Dakua timber</v>
      </c>
      <c r="C128" s="39">
        <f>ROUND('Takeoff Sheet'!N123,0)</f>
        <v>0</v>
      </c>
      <c r="F128" s="7" t="str">
        <f>'Takeoff Sheet'!O123</f>
        <v>m</v>
      </c>
    </row>
    <row r="129" spans="1:6" hidden="1">
      <c r="B129" s="6" t="str">
        <f>'Takeoff Sheet'!B124</f>
        <v>Stringers</v>
      </c>
      <c r="C129" s="39">
        <f>ROUND('Takeoff Sheet'!N124,0)</f>
        <v>0</v>
      </c>
      <c r="F129" s="7" t="str">
        <f>'Takeoff Sheet'!O124</f>
        <v>m</v>
      </c>
    </row>
    <row r="130" spans="1:6" hidden="1">
      <c r="F130" s="7"/>
    </row>
    <row r="131" spans="1:6" hidden="1">
      <c r="A131" s="14">
        <f>'Takeoff Sheet'!A126</f>
        <v>8.0299999999999994</v>
      </c>
      <c r="B131" s="9" t="str">
        <f>'Takeoff Sheet'!B126</f>
        <v>DAS 265x45 H3 Treated Dakua timber</v>
      </c>
      <c r="C131" s="39">
        <f>'Takeoff Sheet'!N126</f>
        <v>0</v>
      </c>
      <c r="F131" s="7" t="s">
        <v>2</v>
      </c>
    </row>
    <row r="132" spans="1:6" hidden="1">
      <c r="B132" s="6" t="str">
        <f>'Takeoff Sheet'!B127</f>
        <v>Stair</v>
      </c>
      <c r="C132" s="39">
        <f>ROUND('Takeoff Sheet'!N127,0)</f>
        <v>0</v>
      </c>
      <c r="F132" s="7" t="s">
        <v>265</v>
      </c>
    </row>
    <row r="133" spans="1:6" hidden="1">
      <c r="F133" s="7"/>
    </row>
    <row r="134" spans="1:6" hidden="1">
      <c r="A134" s="14">
        <f>'Takeoff Sheet'!A129</f>
        <v>8.0399999999999991</v>
      </c>
      <c r="B134" s="68" t="str">
        <f>'Takeoff Sheet'!B129</f>
        <v>RS 200x25 H3 Treated Pine timber</v>
      </c>
      <c r="C134" s="39">
        <f>'Takeoff Sheet'!N129</f>
        <v>0</v>
      </c>
      <c r="F134" s="7" t="s">
        <v>2</v>
      </c>
    </row>
    <row r="135" spans="1:6" hidden="1">
      <c r="C135" s="39">
        <f>C134/5.8</f>
        <v>0</v>
      </c>
      <c r="F135" s="7" t="s">
        <v>265</v>
      </c>
    </row>
    <row r="136" spans="1:6" hidden="1">
      <c r="F136" s="7"/>
    </row>
    <row r="137" spans="1:6">
      <c r="A137" s="14">
        <f>'Takeoff Sheet'!A133</f>
        <v>8.01</v>
      </c>
      <c r="B137" s="9" t="str">
        <f>'Takeoff Sheet'!B133</f>
        <v>DAS 95X45 H3 Treated Pine timber</v>
      </c>
      <c r="C137" s="39">
        <f>ROUND('Takeoff Sheet'!N133,0)</f>
        <v>0</v>
      </c>
      <c r="F137" s="7" t="str">
        <f>'Takeoff Sheet'!O133</f>
        <v>m</v>
      </c>
    </row>
    <row r="138" spans="1:6">
      <c r="B138" s="6" t="str">
        <f>'Takeoff Sheet'!B134</f>
        <v>Truss</v>
      </c>
      <c r="C138" s="39">
        <f>ROUND('Takeoff Sheet'!N134,0)</f>
        <v>46</v>
      </c>
      <c r="D138" s="187">
        <v>4</v>
      </c>
      <c r="E138" s="39">
        <f>D138*C138</f>
        <v>184</v>
      </c>
      <c r="F138" s="7" t="s">
        <v>265</v>
      </c>
    </row>
    <row r="139" spans="1:6">
      <c r="F139" s="7"/>
    </row>
    <row r="140" spans="1:6" hidden="1">
      <c r="A140" s="14">
        <f>'Takeoff Sheet'!A136</f>
        <v>8.06</v>
      </c>
      <c r="B140" s="9" t="str">
        <f>'Takeoff Sheet'!B136</f>
        <v>RS 125x45 H3 Treated Pine timber</v>
      </c>
      <c r="C140" s="39">
        <f>'Takeoff Sheet'!N136</f>
        <v>0</v>
      </c>
      <c r="F140" s="7" t="s">
        <v>2</v>
      </c>
    </row>
    <row r="141" spans="1:6" hidden="1">
      <c r="A141" s="14"/>
      <c r="B141" s="9" t="str">
        <f>'Takeoff Sheet'!B137</f>
        <v>Blocking timber</v>
      </c>
      <c r="C141" s="39">
        <f>ROUND('Takeoff Sheet'!N137,0)</f>
        <v>0</v>
      </c>
      <c r="F141" s="7" t="s">
        <v>265</v>
      </c>
    </row>
    <row r="142" spans="1:6" hidden="1">
      <c r="A142" s="14"/>
      <c r="B142" s="9"/>
      <c r="F142" s="7"/>
    </row>
    <row r="143" spans="1:6" hidden="1">
      <c r="A143" s="14">
        <f>'Takeoff Sheet'!A139</f>
        <v>8.07</v>
      </c>
      <c r="B143" s="14" t="str">
        <f>'Takeoff Sheet'!B139</f>
        <v>DAS 100x100 H3 Treated Pine timber</v>
      </c>
      <c r="C143" s="39">
        <f>'Takeoff Sheet'!N139</f>
        <v>0</v>
      </c>
      <c r="F143" s="7" t="s">
        <v>2</v>
      </c>
    </row>
    <row r="144" spans="1:6" hidden="1">
      <c r="A144" s="14"/>
      <c r="B144" s="9" t="str">
        <f>'Takeoff Sheet'!B140</f>
        <v xml:space="preserve"> Post</v>
      </c>
      <c r="C144" s="39">
        <f>ROUND('Takeoff Sheet'!N140,0)</f>
        <v>0</v>
      </c>
      <c r="F144" s="7" t="s">
        <v>265</v>
      </c>
    </row>
    <row r="145" spans="1:6" hidden="1">
      <c r="F145" s="7"/>
    </row>
    <row r="146" spans="1:6">
      <c r="A146" s="14">
        <f>'Takeoff Sheet'!A142</f>
        <v>8.02</v>
      </c>
      <c r="B146" s="9" t="str">
        <f>'Takeoff Sheet'!B142</f>
        <v>RS 100x50 H3 Treated Pine timber</v>
      </c>
      <c r="C146" s="39">
        <f>ROUND('Takeoff Sheet'!N142,0)</f>
        <v>0</v>
      </c>
      <c r="F146" s="7" t="str">
        <f>'Takeoff Sheet'!O142</f>
        <v>m</v>
      </c>
    </row>
    <row r="147" spans="1:6">
      <c r="B147" s="6" t="str">
        <f>'Takeoff Sheet'!B143</f>
        <v>Top plates</v>
      </c>
      <c r="C147" s="39">
        <f>ROUND('Takeoff Sheet'!N143,0)</f>
        <v>6</v>
      </c>
      <c r="D147" s="187">
        <v>4</v>
      </c>
      <c r="E147" s="39">
        <f>D147*C147</f>
        <v>24</v>
      </c>
      <c r="F147" s="7" t="s">
        <v>265</v>
      </c>
    </row>
    <row r="148" spans="1:6">
      <c r="F148" s="7"/>
    </row>
    <row r="149" spans="1:6">
      <c r="A149" s="14">
        <f>'Takeoff Sheet'!A145</f>
        <v>8.0299999999999994</v>
      </c>
      <c r="B149" s="9" t="str">
        <f>'Takeoff Sheet'!B145</f>
        <v>DAS 95x45 H3 Treated Pine timber</v>
      </c>
      <c r="C149" s="39">
        <f>ROUND('Takeoff Sheet'!N145,0)</f>
        <v>0</v>
      </c>
      <c r="F149" s="7" t="str">
        <f>'Takeoff Sheet'!O145</f>
        <v>m</v>
      </c>
    </row>
    <row r="150" spans="1:6">
      <c r="B150" s="6" t="str">
        <f>'Takeoff Sheet'!B146</f>
        <v>All door and window frames</v>
      </c>
      <c r="C150" s="39">
        <f>'Takeoff Sheet'!N146+'Takeoff Sheet'!N147+'Takeoff Sheet'!N148+'Takeoff Sheet'!N149+'Takeoff Sheet'!N150+'Takeoff Sheet'!N153+'Takeoff Sheet'!N154+'Takeoff Sheet'!M150+'Takeoff Sheet'!M149+'Takeoff Sheet'!M148+'Takeoff Sheet'!M147+'Takeoff Sheet'!M146</f>
        <v>24.354499999999998</v>
      </c>
      <c r="D150" s="187">
        <v>4</v>
      </c>
      <c r="E150" s="39">
        <f>D150*C150</f>
        <v>97.417999999999992</v>
      </c>
      <c r="F150" s="7" t="s">
        <v>265</v>
      </c>
    </row>
    <row r="151" spans="1:6">
      <c r="F151" s="7"/>
    </row>
    <row r="152" spans="1:6">
      <c r="A152" s="14">
        <f>'Takeoff Sheet'!A152</f>
        <v>8.0399999999999991</v>
      </c>
      <c r="B152" s="6" t="s">
        <v>293</v>
      </c>
      <c r="C152" s="39">
        <f>'Takeoff Sheet'!N152+'Takeoff Sheet'!M152</f>
        <v>3.6183333333333332</v>
      </c>
      <c r="D152" s="187">
        <v>4</v>
      </c>
      <c r="E152" s="39">
        <f>D152*C152</f>
        <v>14.473333333333333</v>
      </c>
      <c r="F152" s="7" t="s">
        <v>23</v>
      </c>
    </row>
    <row r="153" spans="1:6">
      <c r="F153" s="7"/>
    </row>
    <row r="154" spans="1:6">
      <c r="A154" s="14">
        <f>'Takeoff Sheet'!A157</f>
        <v>8.0500000000000007</v>
      </c>
      <c r="B154" s="6" t="str">
        <f>'Takeoff Sheet'!B157</f>
        <v>RS 50x50 H3 Treated Pine timber</v>
      </c>
      <c r="C154" s="39">
        <f>'Takeoff Sheet'!N157</f>
        <v>0</v>
      </c>
      <c r="F154" s="7" t="str">
        <f>'Takeoff Sheet'!O157</f>
        <v>m</v>
      </c>
    </row>
    <row r="155" spans="1:6">
      <c r="A155" s="14"/>
      <c r="B155" s="6" t="s">
        <v>300</v>
      </c>
      <c r="C155" s="39">
        <v>48</v>
      </c>
      <c r="D155" s="187">
        <v>4</v>
      </c>
      <c r="E155" s="39">
        <f>D155*C155</f>
        <v>192</v>
      </c>
      <c r="F155" s="7" t="s">
        <v>23</v>
      </c>
    </row>
    <row r="156" spans="1:6">
      <c r="B156" s="6" t="str">
        <f>'Takeoff Sheet'!B159</f>
        <v>Purlin</v>
      </c>
      <c r="C156" s="39">
        <v>42</v>
      </c>
      <c r="D156" s="187">
        <v>4</v>
      </c>
      <c r="E156" s="39">
        <f>D156*C156</f>
        <v>168</v>
      </c>
      <c r="F156" s="7" t="str">
        <f>'Takeoff Sheet'!O159</f>
        <v>Length(s)</v>
      </c>
    </row>
    <row r="157" spans="1:6">
      <c r="F157" s="7"/>
    </row>
    <row r="158" spans="1:6">
      <c r="A158" s="14">
        <f>'Takeoff Sheet'!A161</f>
        <v>8.06</v>
      </c>
      <c r="B158" s="9" t="str">
        <f>'Takeoff Sheet'!B161</f>
        <v>DAS 40x20 Dakua</v>
      </c>
      <c r="C158" s="39">
        <f>'Takeoff Sheet'!N161</f>
        <v>0</v>
      </c>
      <c r="F158" s="7" t="str">
        <f>'Takeoff Sheet'!O161</f>
        <v>m</v>
      </c>
    </row>
    <row r="159" spans="1:6">
      <c r="C159" s="39">
        <f>ROUND('Takeoff Sheet'!N162,0)</f>
        <v>69</v>
      </c>
      <c r="D159" s="187">
        <v>4</v>
      </c>
      <c r="E159" s="39">
        <f>D159*C159</f>
        <v>276</v>
      </c>
      <c r="F159" s="7" t="s">
        <v>265</v>
      </c>
    </row>
    <row r="160" spans="1:6">
      <c r="F160" s="7"/>
    </row>
    <row r="161" spans="1:8">
      <c r="A161" s="14">
        <f>'Takeoff Sheet'!A164</f>
        <v>8.07</v>
      </c>
      <c r="B161" s="9" t="s">
        <v>334</v>
      </c>
      <c r="C161" s="39">
        <f>'Takeoff Sheet'!N164</f>
        <v>0</v>
      </c>
      <c r="F161" s="7" t="s">
        <v>2</v>
      </c>
    </row>
    <row r="162" spans="1:8">
      <c r="B162" s="6" t="s">
        <v>266</v>
      </c>
      <c r="C162" s="39">
        <f>ROUND('Takeoff Sheet'!N165,0)</f>
        <v>30</v>
      </c>
      <c r="D162" s="187">
        <v>4</v>
      </c>
      <c r="E162" s="39">
        <f>D162*C162</f>
        <v>120</v>
      </c>
      <c r="F162" s="7" t="s">
        <v>265</v>
      </c>
    </row>
    <row r="163" spans="1:8">
      <c r="F163" s="7"/>
    </row>
    <row r="164" spans="1:8">
      <c r="B164" s="6" t="s">
        <v>36</v>
      </c>
      <c r="F164" s="7"/>
      <c r="H164" s="56"/>
    </row>
    <row r="165" spans="1:8">
      <c r="F165" s="7"/>
    </row>
    <row r="166" spans="1:8">
      <c r="A166" s="65">
        <f>'Takeoff Sheet'!A167</f>
        <v>9</v>
      </c>
      <c r="B166" s="65" t="str">
        <f>'Takeoff Sheet'!B167</f>
        <v>BOARDS</v>
      </c>
      <c r="F166" s="7"/>
    </row>
    <row r="167" spans="1:8">
      <c r="A167" s="14">
        <f>'Takeoff Sheet'!A168</f>
        <v>9.01</v>
      </c>
      <c r="B167" s="9" t="str">
        <f>'Takeoff Sheet'!B168</f>
        <v>Hardboard/Masonite</v>
      </c>
      <c r="C167" s="39">
        <f>ROUND('Takeoff Sheet'!N168,0)</f>
        <v>0</v>
      </c>
      <c r="F167" s="7" t="str">
        <f>'Takeoff Sheet'!O168</f>
        <v>m²</v>
      </c>
    </row>
    <row r="168" spans="1:8">
      <c r="A168" s="9">
        <f>'Takeoff Sheet'!A169</f>
        <v>0</v>
      </c>
      <c r="B168" s="6" t="str">
        <f>'Takeoff Sheet'!B169</f>
        <v>Ceiling</v>
      </c>
      <c r="C168" s="39">
        <f>ROUND('Takeoff Sheet'!N169,0)</f>
        <v>24</v>
      </c>
      <c r="D168" s="187">
        <v>4</v>
      </c>
      <c r="E168" s="39">
        <f>D168*C168</f>
        <v>96</v>
      </c>
      <c r="F168" s="7" t="str">
        <f>'Takeoff Sheet'!O169</f>
        <v>Sheet</v>
      </c>
    </row>
    <row r="169" spans="1:8">
      <c r="A169" s="9" t="str">
        <f>'Takeoff Sheet'!A171</f>
        <v>Done</v>
      </c>
      <c r="F169" s="7"/>
    </row>
    <row r="170" spans="1:8">
      <c r="A170" s="14">
        <f>'Takeoff Sheet'!A172</f>
        <v>9.02</v>
      </c>
      <c r="B170" s="6" t="str">
        <f>'Takeoff Sheet'!B172</f>
        <v>8 mm Marine  Ply</v>
      </c>
      <c r="C170" s="39">
        <f>ROUND('Takeoff Sheet'!N172,0)</f>
        <v>0</v>
      </c>
      <c r="F170" s="7" t="str">
        <f>'Takeoff Sheet'!O172</f>
        <v>m²</v>
      </c>
    </row>
    <row r="171" spans="1:8">
      <c r="A171" s="9">
        <f>'Takeoff Sheet'!A173</f>
        <v>0</v>
      </c>
      <c r="B171" s="6" t="str">
        <f>'Takeoff Sheet'!B173</f>
        <v>1st Floor Sheet</v>
      </c>
      <c r="C171" s="39">
        <f>ROUND('Takeoff Sheet'!N173,0)</f>
        <v>2</v>
      </c>
      <c r="D171" s="187">
        <v>4</v>
      </c>
      <c r="E171" s="39">
        <f>D171*C171</f>
        <v>8</v>
      </c>
      <c r="F171" s="7" t="str">
        <f>'Takeoff Sheet'!O173</f>
        <v>Sheet</v>
      </c>
    </row>
    <row r="172" spans="1:8">
      <c r="A172" s="9">
        <f>'Takeoff Sheet'!A174</f>
        <v>0</v>
      </c>
      <c r="F172" s="7"/>
    </row>
    <row r="173" spans="1:8">
      <c r="A173" s="65">
        <f>'Takeoff Sheet'!A175</f>
        <v>10</v>
      </c>
      <c r="B173" s="65" t="str">
        <f>'Takeoff Sheet'!B175</f>
        <v>FLOOR WORKS</v>
      </c>
      <c r="F173" s="7"/>
    </row>
    <row r="174" spans="1:8">
      <c r="A174" s="14">
        <f>'Takeoff Sheet'!A176</f>
        <v>10.01</v>
      </c>
      <c r="B174" s="6" t="str">
        <f>'Takeoff Sheet'!B176</f>
        <v>300x300 Vinyl tile</v>
      </c>
      <c r="C174" s="39">
        <f>ROUND('Takeoff Sheet'!N176,0)</f>
        <v>0</v>
      </c>
      <c r="F174" s="7" t="str">
        <f>'Takeoff Sheet'!O176</f>
        <v>m²</v>
      </c>
    </row>
    <row r="175" spans="1:8">
      <c r="A175" s="9">
        <f>'Takeoff Sheet'!A177</f>
        <v>0</v>
      </c>
      <c r="C175" s="39">
        <v>25</v>
      </c>
      <c r="D175" s="187">
        <v>4</v>
      </c>
      <c r="E175" s="39">
        <f>D175*C175</f>
        <v>100</v>
      </c>
      <c r="F175" s="7" t="s">
        <v>333</v>
      </c>
    </row>
    <row r="176" spans="1:8">
      <c r="F176" s="7"/>
    </row>
    <row r="177" spans="1:6">
      <c r="A177" s="14">
        <f>'Takeoff Sheet'!A179</f>
        <v>10.02</v>
      </c>
      <c r="B177" s="6" t="str">
        <f>'Takeoff Sheet'!B179</f>
        <v>Tile O Fix</v>
      </c>
      <c r="C177" s="39">
        <f>ROUND('Takeoff Sheet'!N179,0)</f>
        <v>0</v>
      </c>
      <c r="F177" s="7" t="str">
        <f>'Takeoff Sheet'!O179</f>
        <v>Unit</v>
      </c>
    </row>
    <row r="178" spans="1:6">
      <c r="C178" s="39">
        <v>6</v>
      </c>
      <c r="D178" s="187">
        <v>4</v>
      </c>
      <c r="E178" s="39">
        <f>D178*C178</f>
        <v>24</v>
      </c>
      <c r="F178" s="7" t="str">
        <f>'Takeoff Sheet'!O180</f>
        <v>Unit</v>
      </c>
    </row>
    <row r="179" spans="1:6">
      <c r="F179" s="7"/>
    </row>
    <row r="180" spans="1:6">
      <c r="A180" s="14">
        <f>'Takeoff Sheet'!A182</f>
        <v>10.029999999999999</v>
      </c>
      <c r="B180" s="9" t="str">
        <f>'Takeoff Sheet'!B182</f>
        <v>Polyurethane Clear 4L</v>
      </c>
      <c r="C180" s="39">
        <f>'Takeoff Sheet'!N182</f>
        <v>0</v>
      </c>
      <c r="F180" s="7" t="str">
        <f>F174</f>
        <v>m²</v>
      </c>
    </row>
    <row r="181" spans="1:6">
      <c r="B181" s="6" t="str">
        <f>'Takeoff Sheet'!B183</f>
        <v>1st Floor coating</v>
      </c>
      <c r="C181" s="39">
        <f>ROUND('Takeoff Sheet'!N183,0)</f>
        <v>0</v>
      </c>
      <c r="D181" s="187">
        <v>4</v>
      </c>
      <c r="E181" s="39">
        <f>D181*C181</f>
        <v>0</v>
      </c>
      <c r="F181" s="7" t="s">
        <v>267</v>
      </c>
    </row>
    <row r="182" spans="1:6">
      <c r="F182" s="7"/>
    </row>
    <row r="183" spans="1:6">
      <c r="A183" s="14">
        <f>'Takeoff Sheet'!A185</f>
        <v>10.039999999999999</v>
      </c>
      <c r="B183" s="9" t="str">
        <f>'Takeoff Sheet'!B185</f>
        <v>Turbinetine  20L</v>
      </c>
      <c r="C183" s="39">
        <v>2</v>
      </c>
      <c r="D183" s="187">
        <v>4</v>
      </c>
      <c r="E183" s="39">
        <f>D183*C183</f>
        <v>8</v>
      </c>
      <c r="F183" s="7" t="s">
        <v>4</v>
      </c>
    </row>
    <row r="184" spans="1:6">
      <c r="F184" s="7"/>
    </row>
    <row r="185" spans="1:6">
      <c r="A185" s="14">
        <f>'Takeoff Sheet'!A188</f>
        <v>10.050000000000001</v>
      </c>
      <c r="B185" s="9" t="str">
        <f>'Takeoff Sheet'!B188</f>
        <v>100mm Hand brush</v>
      </c>
      <c r="C185" s="39">
        <f>'Takeoff Sheet'!N189</f>
        <v>10</v>
      </c>
      <c r="D185" s="187">
        <v>4</v>
      </c>
      <c r="E185" s="39">
        <f>D185*C185</f>
        <v>40</v>
      </c>
      <c r="F185" s="7" t="s">
        <v>4</v>
      </c>
    </row>
    <row r="186" spans="1:6">
      <c r="F186" s="7"/>
    </row>
    <row r="187" spans="1:6">
      <c r="A187" s="14">
        <f>'Takeoff Sheet'!A191</f>
        <v>10.06</v>
      </c>
      <c r="B187" s="9" t="str">
        <f>'Takeoff Sheet'!B191</f>
        <v>300x300 Quarry tile</v>
      </c>
      <c r="C187" s="39">
        <f>ROUND('Takeoff Sheet'!N192,0)</f>
        <v>3</v>
      </c>
      <c r="D187" s="187">
        <v>4</v>
      </c>
      <c r="E187" s="39">
        <f>D187*C187</f>
        <v>12</v>
      </c>
      <c r="F187" s="7" t="s">
        <v>268</v>
      </c>
    </row>
    <row r="188" spans="1:6">
      <c r="F188" s="7"/>
    </row>
    <row r="189" spans="1:6">
      <c r="A189" s="14">
        <f>'Takeoff Sheet'!A194</f>
        <v>10.07</v>
      </c>
      <c r="B189" s="64" t="str">
        <f>'Takeoff Sheet'!B194</f>
        <v>150x150 Wall tile</v>
      </c>
      <c r="C189" s="39">
        <f>ROUND('Takeoff Sheet'!N195,0)</f>
        <v>21</v>
      </c>
      <c r="D189" s="187">
        <v>4</v>
      </c>
      <c r="E189" s="39">
        <f>D189*C189</f>
        <v>84</v>
      </c>
      <c r="F189" s="7" t="s">
        <v>268</v>
      </c>
    </row>
    <row r="190" spans="1:6">
      <c r="A190" s="14"/>
      <c r="B190" s="64"/>
      <c r="F190" s="7"/>
    </row>
    <row r="191" spans="1:6">
      <c r="A191" s="14">
        <f>'Takeoff Sheet'!A197</f>
        <v>10.08</v>
      </c>
      <c r="B191" s="64" t="str">
        <f>'Takeoff Sheet'!B197</f>
        <v>20kg CTA</v>
      </c>
      <c r="C191" s="39">
        <v>12</v>
      </c>
      <c r="D191" s="187">
        <v>4</v>
      </c>
      <c r="E191" s="39">
        <f>D191*C191</f>
        <v>48</v>
      </c>
      <c r="F191" s="7" t="s">
        <v>5</v>
      </c>
    </row>
    <row r="192" spans="1:6">
      <c r="A192" s="14"/>
      <c r="B192" s="64"/>
      <c r="F192" s="7"/>
    </row>
    <row r="193" spans="1:8">
      <c r="A193" s="14">
        <f>'Takeoff Sheet'!A200</f>
        <v>10.09</v>
      </c>
      <c r="B193" s="64" t="str">
        <f>'Takeoff Sheet'!B200</f>
        <v>20kg Grout (White)</v>
      </c>
      <c r="C193" s="39">
        <f>'Takeoff Sheet'!N201</f>
        <v>5</v>
      </c>
      <c r="D193" s="187">
        <v>4</v>
      </c>
      <c r="E193" s="39">
        <f>D193*C193</f>
        <v>20</v>
      </c>
      <c r="F193" s="7" t="s">
        <v>5</v>
      </c>
    </row>
    <row r="194" spans="1:8">
      <c r="A194" s="14"/>
      <c r="B194" s="64"/>
      <c r="F194" s="7"/>
    </row>
    <row r="195" spans="1:8">
      <c r="B195" s="6" t="s">
        <v>36</v>
      </c>
      <c r="F195" s="7"/>
      <c r="H195" s="56"/>
    </row>
    <row r="196" spans="1:8">
      <c r="A196" s="65">
        <f>'Takeoff Sheet'!A203</f>
        <v>11</v>
      </c>
      <c r="B196" s="65" t="str">
        <f>'Takeoff Sheet'!B203</f>
        <v>HARDWARE</v>
      </c>
      <c r="F196" s="7"/>
    </row>
    <row r="197" spans="1:8">
      <c r="A197" s="14">
        <f>'Takeoff Sheet'!A204</f>
        <v>11.01</v>
      </c>
      <c r="B197" s="6" t="str">
        <f>'Takeoff Sheet'!B204</f>
        <v>100mm Stainless steel Hinges</v>
      </c>
      <c r="C197" s="39">
        <v>7</v>
      </c>
      <c r="D197" s="187">
        <v>4</v>
      </c>
      <c r="E197" s="39">
        <f>D197*C197</f>
        <v>28</v>
      </c>
      <c r="F197" s="7" t="str">
        <f>'Takeoff Sheet'!O204</f>
        <v>Nos</v>
      </c>
    </row>
    <row r="198" spans="1:8">
      <c r="A198" s="9">
        <f>'Takeoff Sheet'!A205</f>
        <v>0</v>
      </c>
      <c r="F198" s="7"/>
    </row>
    <row r="199" spans="1:8">
      <c r="A199" s="14">
        <f>'Takeoff Sheet'!A206</f>
        <v>11.02</v>
      </c>
      <c r="B199" s="6" t="str">
        <f>'Takeoff Sheet'!B206</f>
        <v>Bright brass Lever lock with BiLock</v>
      </c>
      <c r="C199" s="39">
        <f>'Takeoff Sheet'!N206</f>
        <v>2</v>
      </c>
      <c r="D199" s="187">
        <v>4</v>
      </c>
      <c r="E199" s="39">
        <f>D199*C199</f>
        <v>8</v>
      </c>
      <c r="F199" s="7" t="str">
        <f>'Takeoff Sheet'!O206</f>
        <v>Nos</v>
      </c>
    </row>
    <row r="200" spans="1:8">
      <c r="A200" s="9">
        <f>'Takeoff Sheet'!A207</f>
        <v>0</v>
      </c>
      <c r="F200" s="7"/>
    </row>
    <row r="201" spans="1:8">
      <c r="A201" s="14">
        <f>'Takeoff Sheet'!A208</f>
        <v>11.03</v>
      </c>
      <c r="B201" s="6" t="str">
        <f>'Takeoff Sheet'!B208</f>
        <v>100mm Barrel bolt</v>
      </c>
      <c r="C201" s="39">
        <f>'Takeoff Sheet'!N208</f>
        <v>8</v>
      </c>
      <c r="D201" s="187">
        <v>4</v>
      </c>
      <c r="E201" s="39">
        <f>D201*C201</f>
        <v>32</v>
      </c>
      <c r="F201" s="7" t="str">
        <f>'Takeoff Sheet'!O208</f>
        <v>Nos</v>
      </c>
    </row>
    <row r="202" spans="1:8">
      <c r="A202" s="9">
        <f>'Takeoff Sheet'!A209</f>
        <v>0</v>
      </c>
      <c r="F202" s="7"/>
    </row>
    <row r="203" spans="1:8">
      <c r="A203" s="14">
        <f>'Takeoff Sheet'!A212</f>
        <v>11.05</v>
      </c>
      <c r="B203" s="6" t="str">
        <f>'Takeoff Sheet'!B212</f>
        <v>36" Clear Glass</v>
      </c>
      <c r="C203" s="39">
        <v>250</v>
      </c>
      <c r="D203" s="187">
        <v>4</v>
      </c>
      <c r="E203" s="39">
        <f>D203*C203</f>
        <v>1000</v>
      </c>
      <c r="F203" s="7" t="str">
        <f>'Takeoff Sheet'!O212</f>
        <v>Nos</v>
      </c>
    </row>
    <row r="204" spans="1:8">
      <c r="A204" s="14"/>
      <c r="F204" s="7"/>
    </row>
    <row r="205" spans="1:8">
      <c r="A205" s="14">
        <v>11.05</v>
      </c>
      <c r="B205" s="6" t="s">
        <v>292</v>
      </c>
      <c r="C205" s="39">
        <v>14</v>
      </c>
      <c r="D205" s="187">
        <v>4</v>
      </c>
      <c r="E205" s="39">
        <f>D205*C205</f>
        <v>56</v>
      </c>
      <c r="F205" s="7" t="s">
        <v>4</v>
      </c>
    </row>
    <row r="206" spans="1:8">
      <c r="A206" s="9">
        <f>'Takeoff Sheet'!A213</f>
        <v>0</v>
      </c>
      <c r="F206" s="7"/>
    </row>
    <row r="207" spans="1:8">
      <c r="A207" s="14">
        <v>11.06</v>
      </c>
      <c r="B207" s="6" t="str">
        <f>'Takeoff Sheet'!B214</f>
        <v>8 blades louvre frame</v>
      </c>
      <c r="C207" s="39">
        <v>9</v>
      </c>
      <c r="D207" s="187">
        <v>4</v>
      </c>
      <c r="E207" s="39">
        <f>D207*C207</f>
        <v>36</v>
      </c>
      <c r="F207" s="7" t="str">
        <f>'Takeoff Sheet'!O214</f>
        <v>Nos</v>
      </c>
    </row>
    <row r="208" spans="1:8">
      <c r="A208" s="9">
        <f>'Takeoff Sheet'!A215</f>
        <v>0</v>
      </c>
      <c r="F208" s="7"/>
    </row>
    <row r="209" spans="1:8">
      <c r="A209" s="14">
        <v>11.07</v>
      </c>
      <c r="B209" s="6" t="str">
        <f>'Takeoff Sheet'!B216</f>
        <v>6 blades louvre frame</v>
      </c>
      <c r="C209" s="39">
        <v>2</v>
      </c>
      <c r="D209" s="187">
        <v>4</v>
      </c>
      <c r="E209" s="39">
        <f>D209*C209</f>
        <v>8</v>
      </c>
      <c r="F209" s="7" t="str">
        <f>'Takeoff Sheet'!O216</f>
        <v>Nos</v>
      </c>
    </row>
    <row r="210" spans="1:8">
      <c r="A210" s="9">
        <f>'Takeoff Sheet'!A217</f>
        <v>0</v>
      </c>
      <c r="F210" s="7"/>
    </row>
    <row r="211" spans="1:8">
      <c r="A211" s="14">
        <v>11.08</v>
      </c>
      <c r="B211" s="6" t="str">
        <f>'Takeoff Sheet'!B218</f>
        <v>4 blades louvre frame</v>
      </c>
      <c r="C211" s="39">
        <v>5</v>
      </c>
      <c r="D211" s="187">
        <v>4</v>
      </c>
      <c r="E211" s="39">
        <f>D211*C211</f>
        <v>20</v>
      </c>
      <c r="F211" s="7" t="str">
        <f>'Takeoff Sheet'!O218</f>
        <v>Nos</v>
      </c>
    </row>
    <row r="212" spans="1:8">
      <c r="A212" s="14"/>
      <c r="F212" s="7"/>
    </row>
    <row r="213" spans="1:8">
      <c r="A213" s="14">
        <v>11.09</v>
      </c>
      <c r="B213" s="6" t="s">
        <v>276</v>
      </c>
      <c r="C213" s="39">
        <f>'Takeoff Sheet'!N220</f>
        <v>8</v>
      </c>
      <c r="D213" s="187">
        <v>4</v>
      </c>
      <c r="E213" s="39">
        <f>D213*C213</f>
        <v>32</v>
      </c>
      <c r="F213" s="7" t="str">
        <f>'Takeoff Sheet'!O220</f>
        <v>Sheet</v>
      </c>
    </row>
    <row r="214" spans="1:8">
      <c r="A214" s="14"/>
      <c r="F214" s="7"/>
    </row>
    <row r="215" spans="1:8">
      <c r="A215" s="14"/>
      <c r="F215" s="7"/>
    </row>
    <row r="216" spans="1:8">
      <c r="A216" s="14"/>
      <c r="B216" s="6" t="s">
        <v>36</v>
      </c>
      <c r="F216" s="7"/>
      <c r="H216" s="56"/>
    </row>
    <row r="217" spans="1:8">
      <c r="A217" s="9" t="str">
        <f>'Takeoff Sheet'!A222</f>
        <v>Done</v>
      </c>
      <c r="F217" s="7"/>
    </row>
    <row r="218" spans="1:8">
      <c r="A218" s="65">
        <f>'Takeoff Sheet'!A224</f>
        <v>12</v>
      </c>
      <c r="B218" s="66" t="str">
        <f>'Takeoff Sheet'!B224</f>
        <v>PAINT WORKS</v>
      </c>
      <c r="C218" s="39">
        <f>ROUND('Takeoff Sheet'!N224,0)</f>
        <v>0</v>
      </c>
      <c r="F218" s="7" t="str">
        <f>'Takeoff Sheet'!O224</f>
        <v>m²</v>
      </c>
    </row>
    <row r="219" spans="1:8">
      <c r="A219" s="14">
        <f>'Takeoff Sheet'!A225</f>
        <v>12.01</v>
      </c>
      <c r="B219" s="6" t="str">
        <f>'Takeoff Sheet'!B225</f>
        <v>Primer</v>
      </c>
      <c r="C219" s="39">
        <v>4</v>
      </c>
      <c r="D219" s="187">
        <v>4</v>
      </c>
      <c r="E219" s="39">
        <f t="shared" ref="E219:E226" si="0">D219*C219</f>
        <v>16</v>
      </c>
      <c r="F219" s="7" t="str">
        <f>'Takeoff Sheet'!O225</f>
        <v>Tin</v>
      </c>
    </row>
    <row r="220" spans="1:8">
      <c r="A220" s="14">
        <f>'Takeoff Sheet'!A226</f>
        <v>12.02</v>
      </c>
      <c r="B220" s="6" t="str">
        <f>'Takeoff Sheet'!B226</f>
        <v>Undercoat</v>
      </c>
      <c r="C220" s="39">
        <f>'Takeoff Sheet'!N226</f>
        <v>24.596484374999999</v>
      </c>
      <c r="D220" s="187">
        <v>4</v>
      </c>
      <c r="E220" s="39">
        <f t="shared" si="0"/>
        <v>98.385937499999997</v>
      </c>
      <c r="F220" s="7" t="str">
        <f>'Takeoff Sheet'!O226</f>
        <v>Unit</v>
      </c>
    </row>
    <row r="221" spans="1:8">
      <c r="A221" s="14">
        <f>'Takeoff Sheet'!A227</f>
        <v>12.03</v>
      </c>
      <c r="B221" s="6" t="str">
        <f>'Takeoff Sheet'!B227</f>
        <v>Semi-gloss</v>
      </c>
      <c r="C221" s="39">
        <f>'Takeoff Sheet'!N227</f>
        <v>24.596484374999999</v>
      </c>
      <c r="D221" s="187">
        <v>4</v>
      </c>
      <c r="E221" s="39">
        <f t="shared" si="0"/>
        <v>98.385937499999997</v>
      </c>
      <c r="F221" s="7" t="str">
        <f>'Takeoff Sheet'!O227</f>
        <v>Unit</v>
      </c>
    </row>
    <row r="222" spans="1:8">
      <c r="A222" s="14">
        <f>'Takeoff Sheet'!A228</f>
        <v>12.04</v>
      </c>
      <c r="B222" s="6" t="str">
        <f>'Takeoff Sheet'!B228</f>
        <v>High-gloss</v>
      </c>
      <c r="C222" s="39">
        <f>'Takeoff Sheet'!N228</f>
        <v>16.397656250000001</v>
      </c>
      <c r="D222" s="187">
        <v>4</v>
      </c>
      <c r="E222" s="39">
        <f t="shared" si="0"/>
        <v>65.590625000000003</v>
      </c>
      <c r="F222" s="7" t="str">
        <f>'Takeoff Sheet'!O228</f>
        <v>Unit</v>
      </c>
    </row>
    <row r="223" spans="1:8">
      <c r="A223" s="14">
        <f>'Takeoff Sheet'!A229</f>
        <v>12.05</v>
      </c>
      <c r="B223" s="6" t="str">
        <f>'Takeoff Sheet'!B229</f>
        <v>100mm Hand brush</v>
      </c>
      <c r="C223" s="39">
        <f>ROUND('Takeoff Sheet'!N229,0)</f>
        <v>8</v>
      </c>
      <c r="D223" s="187">
        <v>4</v>
      </c>
      <c r="E223" s="39">
        <f t="shared" si="0"/>
        <v>32</v>
      </c>
      <c r="F223" s="7" t="str">
        <f>'Takeoff Sheet'!O229</f>
        <v>Nos</v>
      </c>
    </row>
    <row r="224" spans="1:8">
      <c r="A224" s="14">
        <f>'Takeoff Sheet'!A230</f>
        <v>12.05</v>
      </c>
      <c r="B224" s="6" t="str">
        <f>'Takeoff Sheet'!B230</f>
        <v>Corner brush</v>
      </c>
      <c r="C224" s="39">
        <f>ROUND('Takeoff Sheet'!N230,0)</f>
        <v>8</v>
      </c>
      <c r="D224" s="187">
        <v>4</v>
      </c>
      <c r="E224" s="39">
        <f t="shared" si="0"/>
        <v>32</v>
      </c>
      <c r="F224" s="7" t="str">
        <f>'Takeoff Sheet'!O230</f>
        <v>Nos</v>
      </c>
    </row>
    <row r="225" spans="1:8">
      <c r="A225" s="14">
        <f>'Takeoff Sheet'!A231</f>
        <v>12.06</v>
      </c>
      <c r="B225" s="6" t="str">
        <f>'Takeoff Sheet'!B231</f>
        <v>ROLLER KIT 4 PCS SET OLDFIELD KUPU‐KUPU 230mm [9"]</v>
      </c>
      <c r="C225" s="39">
        <f>ROUND('Takeoff Sheet'!N231,0)</f>
        <v>8</v>
      </c>
      <c r="D225" s="187">
        <v>4</v>
      </c>
      <c r="E225" s="39">
        <f t="shared" si="0"/>
        <v>32</v>
      </c>
      <c r="F225" s="7" t="str">
        <f>'Takeoff Sheet'!O231</f>
        <v>Nos</v>
      </c>
    </row>
    <row r="226" spans="1:8">
      <c r="A226" s="14">
        <f>'Takeoff Sheet'!A232</f>
        <v>12.07</v>
      </c>
      <c r="B226" s="6" t="str">
        <f>'Takeoff Sheet'!B232</f>
        <v>ROLLER SLEEVE ‐ NOOK &amp; FABRIC 100mm [4"] CHINA mouse</v>
      </c>
      <c r="C226" s="39">
        <f>ROUND('Takeoff Sheet'!N232,0)</f>
        <v>8</v>
      </c>
      <c r="D226" s="187">
        <v>4</v>
      </c>
      <c r="E226" s="39">
        <f t="shared" si="0"/>
        <v>32</v>
      </c>
      <c r="F226" s="7" t="str">
        <f>'Takeoff Sheet'!O232</f>
        <v>Nos</v>
      </c>
    </row>
    <row r="227" spans="1:8">
      <c r="A227" s="14"/>
      <c r="F227" s="7"/>
    </row>
    <row r="228" spans="1:8">
      <c r="A228" s="14"/>
      <c r="B228" s="6" t="s">
        <v>36</v>
      </c>
      <c r="F228" s="7"/>
      <c r="H228" s="56"/>
    </row>
    <row r="229" spans="1:8">
      <c r="A229" s="9" t="str">
        <f>'Takeoff Sheet'!A233</f>
        <v>Done</v>
      </c>
      <c r="F229" s="7"/>
    </row>
    <row r="230" spans="1:8">
      <c r="A230" s="65">
        <f>'Takeoff Sheet'!A234</f>
        <v>13</v>
      </c>
      <c r="B230" s="66" t="str">
        <f>'Takeoff Sheet'!B234</f>
        <v>PLUMBING WORKS</v>
      </c>
      <c r="C230" s="39">
        <f>ROUND('Takeoff Sheet'!N235,0)</f>
        <v>0</v>
      </c>
      <c r="F230" s="7" t="str">
        <f>'Takeoff Sheet'!O235</f>
        <v>m</v>
      </c>
    </row>
    <row r="231" spans="1:8">
      <c r="A231" s="14">
        <f>'Takeoff Sheet'!A235</f>
        <v>13.01</v>
      </c>
      <c r="B231" s="6" t="str">
        <f>'Takeoff Sheet'!B235</f>
        <v>15' Colourbond Corrugate iron roofing sheet</v>
      </c>
      <c r="C231" s="39">
        <v>40</v>
      </c>
      <c r="D231" s="187">
        <v>4</v>
      </c>
      <c r="E231" s="39">
        <f>D231*C231</f>
        <v>160</v>
      </c>
      <c r="F231" s="7" t="str">
        <f>'Takeoff Sheet'!O236</f>
        <v>Sheet</v>
      </c>
    </row>
    <row r="232" spans="1:8">
      <c r="A232" s="9" t="str">
        <f>'Takeoff Sheet'!A237</f>
        <v>Done</v>
      </c>
      <c r="F232" s="7"/>
    </row>
    <row r="233" spans="1:8">
      <c r="F233" s="7"/>
    </row>
    <row r="234" spans="1:8">
      <c r="A234" s="14">
        <f>'Takeoff Sheet'!A238</f>
        <v>13.02</v>
      </c>
      <c r="B234" s="6" t="str">
        <f>'Takeoff Sheet'!B238</f>
        <v>Galv. WIRE NETTING HEX [CHICKEN] 2 x 2" x 6FT [72"] x 2 x 30</v>
      </c>
      <c r="C234" s="39">
        <f>ROUND('Takeoff Sheet'!N238,0)</f>
        <v>0</v>
      </c>
      <c r="F234" s="7" t="str">
        <f>'Takeoff Sheet'!O238</f>
        <v>m²</v>
      </c>
    </row>
    <row r="235" spans="1:8">
      <c r="A235" s="9">
        <f>'Takeoff Sheet'!A239</f>
        <v>0</v>
      </c>
      <c r="C235" s="39">
        <v>4</v>
      </c>
      <c r="D235" s="187">
        <v>4</v>
      </c>
      <c r="E235" s="39">
        <f>D235*C235</f>
        <v>16</v>
      </c>
      <c r="F235" s="7" t="str">
        <f>'Takeoff Sheet'!O239</f>
        <v>Rolls</v>
      </c>
    </row>
    <row r="236" spans="1:8">
      <c r="A236" s="9" t="str">
        <f>'Takeoff Sheet'!A240</f>
        <v>Done</v>
      </c>
      <c r="F236" s="7"/>
    </row>
    <row r="237" spans="1:8">
      <c r="A237" s="14">
        <f>'Takeoff Sheet'!A241</f>
        <v>13.03</v>
      </c>
      <c r="B237" s="6" t="str">
        <f>'Takeoff Sheet'!B241</f>
        <v>SISAL F‐STOP 1250mm x 40M (50m²) DOUBLE SIDE  ROLL</v>
      </c>
      <c r="C237" s="39">
        <f>ROUND('Takeoff Sheet'!N241,0)</f>
        <v>0</v>
      </c>
      <c r="F237" s="7" t="str">
        <f>'Takeoff Sheet'!O241</f>
        <v>m²</v>
      </c>
    </row>
    <row r="238" spans="1:8">
      <c r="A238" s="9">
        <f>'Takeoff Sheet'!A242</f>
        <v>0</v>
      </c>
      <c r="C238" s="39">
        <v>4</v>
      </c>
      <c r="D238" s="187">
        <v>4</v>
      </c>
      <c r="E238" s="39">
        <f>D238*C238</f>
        <v>16</v>
      </c>
      <c r="F238" s="7" t="str">
        <f>'Takeoff Sheet'!O242</f>
        <v>Rolls</v>
      </c>
    </row>
    <row r="239" spans="1:8">
      <c r="A239" s="9" t="str">
        <f>'Takeoff Sheet'!A243</f>
        <v>Done</v>
      </c>
      <c r="F239" s="7"/>
    </row>
    <row r="240" spans="1:8">
      <c r="A240" s="14">
        <f>'Takeoff Sheet'!A244</f>
        <v>13.04</v>
      </c>
      <c r="B240" s="6" t="str">
        <f>'Takeoff Sheet'!B244</f>
        <v>Colourbond Ridge cap 2.4mtr</v>
      </c>
      <c r="C240" s="39">
        <f>ROUND('Takeoff Sheet'!N244,0)</f>
        <v>0</v>
      </c>
      <c r="F240" s="7" t="str">
        <f>'Takeoff Sheet'!O244</f>
        <v>m</v>
      </c>
    </row>
    <row r="241" spans="1:6">
      <c r="A241" s="9">
        <f>'Takeoff Sheet'!A245</f>
        <v>0</v>
      </c>
      <c r="C241" s="39">
        <f>ROUND('Takeoff Sheet'!N245,0)</f>
        <v>6</v>
      </c>
      <c r="D241" s="187">
        <v>4</v>
      </c>
      <c r="E241" s="39">
        <f>D241*C241</f>
        <v>24</v>
      </c>
      <c r="F241" s="7" t="str">
        <f>'Takeoff Sheet'!O245</f>
        <v>Sheet</v>
      </c>
    </row>
    <row r="242" spans="1:6">
      <c r="A242" s="9" t="str">
        <f>'Takeoff Sheet'!A246</f>
        <v>Done</v>
      </c>
      <c r="F242" s="7"/>
    </row>
    <row r="243" spans="1:6">
      <c r="A243" s="14">
        <f>'Takeoff Sheet'!A247</f>
        <v>13.05</v>
      </c>
      <c r="B243" s="6" t="s">
        <v>335</v>
      </c>
      <c r="C243" s="39">
        <f>ROUND('Takeoff Sheet'!N247,0)</f>
        <v>0</v>
      </c>
      <c r="F243" s="7" t="str">
        <f>'Takeoff Sheet'!O247</f>
        <v>m</v>
      </c>
    </row>
    <row r="244" spans="1:6">
      <c r="A244" s="9">
        <f>'Takeoff Sheet'!A248</f>
        <v>0</v>
      </c>
      <c r="C244" s="39">
        <v>18</v>
      </c>
      <c r="D244" s="187">
        <v>4</v>
      </c>
      <c r="E244" s="39">
        <f>D244*C244</f>
        <v>72</v>
      </c>
      <c r="F244" s="7" t="str">
        <f>'Takeoff Sheet'!O248</f>
        <v>Sheet</v>
      </c>
    </row>
    <row r="245" spans="1:6">
      <c r="A245" s="9" t="str">
        <f>'Takeoff Sheet'!A249</f>
        <v>Done</v>
      </c>
      <c r="F245" s="7"/>
    </row>
    <row r="246" spans="1:6">
      <c r="A246" s="14">
        <f>'Takeoff Sheet'!A250</f>
        <v>13.06</v>
      </c>
      <c r="B246" s="6" t="s">
        <v>336</v>
      </c>
      <c r="C246" s="39">
        <f>ROUND('Takeoff Sheet'!N250,0)</f>
        <v>0</v>
      </c>
      <c r="F246" s="7" t="str">
        <f>'Takeoff Sheet'!O250</f>
        <v>m</v>
      </c>
    </row>
    <row r="247" spans="1:6">
      <c r="A247" s="9">
        <f>'Takeoff Sheet'!A251</f>
        <v>0</v>
      </c>
      <c r="C247" s="39">
        <f>ROUND('Takeoff Sheet'!N251,0)</f>
        <v>12</v>
      </c>
      <c r="D247" s="187">
        <v>4</v>
      </c>
      <c r="E247" s="39">
        <f>D247*C247</f>
        <v>48</v>
      </c>
      <c r="F247" s="7" t="str">
        <f>'Takeoff Sheet'!O251</f>
        <v>Sheet</v>
      </c>
    </row>
    <row r="248" spans="1:6">
      <c r="A248" s="9">
        <f>'Takeoff Sheet'!A252</f>
        <v>0</v>
      </c>
      <c r="F248" s="7"/>
    </row>
    <row r="249" spans="1:6">
      <c r="A249" s="14">
        <f>'Takeoff Sheet'!A253</f>
        <v>13.07</v>
      </c>
      <c r="B249" s="6" t="str">
        <f>'Takeoff Sheet'!B253</f>
        <v xml:space="preserve">2.4m Colourbond strapping </v>
      </c>
      <c r="C249" s="39">
        <f>ROUND('Takeoff Sheet'!N253,0)</f>
        <v>0</v>
      </c>
      <c r="F249" s="7" t="str">
        <f>'Takeoff Sheet'!O253</f>
        <v>m</v>
      </c>
    </row>
    <row r="250" spans="1:6">
      <c r="A250" s="9">
        <f>'Takeoff Sheet'!A254</f>
        <v>0</v>
      </c>
      <c r="C250" s="39">
        <v>28</v>
      </c>
      <c r="D250" s="187">
        <v>4</v>
      </c>
      <c r="E250" s="39">
        <f>D250*C250</f>
        <v>112</v>
      </c>
      <c r="F250" s="7" t="str">
        <f>'Takeoff Sheet'!O254</f>
        <v>Nos</v>
      </c>
    </row>
    <row r="251" spans="1:6">
      <c r="A251" s="9">
        <f>'Takeoff Sheet'!A255</f>
        <v>0</v>
      </c>
      <c r="F251" s="7"/>
    </row>
    <row r="252" spans="1:6">
      <c r="A252" s="14">
        <f>'Takeoff Sheet'!A256</f>
        <v>13.08</v>
      </c>
      <c r="B252" s="6" t="str">
        <f>'Takeoff Sheet'!B256</f>
        <v>100mm PVC pipe</v>
      </c>
      <c r="C252" s="39">
        <f>ROUND('Takeoff Sheet'!N256,0)</f>
        <v>10</v>
      </c>
      <c r="D252" s="187">
        <v>4</v>
      </c>
      <c r="E252" s="39">
        <f>D252*C252</f>
        <v>40</v>
      </c>
      <c r="F252" s="7" t="str">
        <f>'Takeoff Sheet'!O256</f>
        <v>Length(s)</v>
      </c>
    </row>
    <row r="253" spans="1:6">
      <c r="F253" s="7"/>
    </row>
    <row r="254" spans="1:6">
      <c r="A254" s="14">
        <f>'Takeoff Sheet'!A257</f>
        <v>13.09</v>
      </c>
      <c r="B254" s="6" t="str">
        <f>'Takeoff Sheet'!B257</f>
        <v>100mm PVC bend 45deg</v>
      </c>
      <c r="C254" s="39">
        <f>ROUND('Takeoff Sheet'!N257,0)</f>
        <v>5</v>
      </c>
      <c r="D254" s="187">
        <v>4</v>
      </c>
      <c r="E254" s="39">
        <f>D254*C254</f>
        <v>20</v>
      </c>
      <c r="F254" s="7" t="str">
        <f>'Takeoff Sheet'!O257</f>
        <v>Nos</v>
      </c>
    </row>
    <row r="255" spans="1:6">
      <c r="F255" s="7"/>
    </row>
    <row r="256" spans="1:6">
      <c r="A256" s="14">
        <f>'Takeoff Sheet'!A258</f>
        <v>13.1</v>
      </c>
      <c r="B256" s="6" t="str">
        <f>'Takeoff Sheet'!B258</f>
        <v>100mm PVC Inspection opening</v>
      </c>
      <c r="C256" s="39">
        <f>ROUND('Takeoff Sheet'!N258,0)</f>
        <v>3</v>
      </c>
      <c r="D256" s="187">
        <v>4</v>
      </c>
      <c r="E256" s="39">
        <f>D256*C256</f>
        <v>12</v>
      </c>
      <c r="F256" s="7" t="str">
        <f>'Takeoff Sheet'!O258</f>
        <v>Nos</v>
      </c>
    </row>
    <row r="257" spans="1:6">
      <c r="F257" s="7"/>
    </row>
    <row r="258" spans="1:6">
      <c r="A258" s="14">
        <f>'Takeoff Sheet'!A259</f>
        <v>13.11</v>
      </c>
      <c r="B258" s="6" t="str">
        <f>'Takeoff Sheet'!B259</f>
        <v>PVCF DWV CLIP STANDARD PIPE 100mm [141.100] WASTE FITTING</v>
      </c>
      <c r="C258" s="39">
        <v>10</v>
      </c>
      <c r="D258" s="187">
        <v>4</v>
      </c>
      <c r="E258" s="39">
        <f t="shared" ref="E258:E290" si="1">D258*C258</f>
        <v>40</v>
      </c>
      <c r="F258" s="7" t="str">
        <f>'Takeoff Sheet'!O259</f>
        <v>Nos</v>
      </c>
    </row>
    <row r="259" spans="1:6">
      <c r="A259" s="14">
        <f>'Takeoff Sheet'!A260</f>
        <v>13.12</v>
      </c>
      <c r="B259" s="64" t="str">
        <f>'Takeoff Sheet'!B260</f>
        <v>100mm PVC Elbow</v>
      </c>
      <c r="C259" s="64">
        <f>'Takeoff Sheet'!N257</f>
        <v>5</v>
      </c>
      <c r="D259" s="194">
        <v>4</v>
      </c>
      <c r="E259" s="39">
        <f t="shared" si="1"/>
        <v>20</v>
      </c>
      <c r="F259" s="7" t="s">
        <v>4</v>
      </c>
    </row>
    <row r="260" spans="1:6">
      <c r="A260" s="14">
        <f>'Takeoff Sheet'!A261</f>
        <v>13.13</v>
      </c>
      <c r="B260" s="64" t="str">
        <f>'Takeoff Sheet'!B261</f>
        <v>100mm PVC Gully trap</v>
      </c>
      <c r="C260" s="64">
        <f>'Takeoff Sheet'!N258</f>
        <v>3</v>
      </c>
      <c r="D260" s="194">
        <v>4</v>
      </c>
      <c r="E260" s="39">
        <f t="shared" si="1"/>
        <v>12</v>
      </c>
      <c r="F260" s="7" t="s">
        <v>4</v>
      </c>
    </row>
    <row r="261" spans="1:6">
      <c r="A261" s="14">
        <f>'Takeoff Sheet'!A262</f>
        <v>13.14</v>
      </c>
      <c r="B261" s="64" t="str">
        <f>'Takeoff Sheet'!B262</f>
        <v xml:space="preserve">100mm PVC Tee </v>
      </c>
      <c r="C261" s="64">
        <v>10</v>
      </c>
      <c r="D261" s="194">
        <v>4</v>
      </c>
      <c r="E261" s="39">
        <f t="shared" si="1"/>
        <v>40</v>
      </c>
      <c r="F261" s="7" t="s">
        <v>4</v>
      </c>
    </row>
    <row r="262" spans="1:6">
      <c r="A262" s="14">
        <f>'Takeoff Sheet'!A263</f>
        <v>13.15</v>
      </c>
      <c r="B262" s="64" t="str">
        <f>'Takeoff Sheet'!B263</f>
        <v>100mm PVC Pan collar</v>
      </c>
      <c r="C262" s="64">
        <f>'Takeoff Sheet'!N260</f>
        <v>12</v>
      </c>
      <c r="D262" s="194">
        <v>4</v>
      </c>
      <c r="E262" s="39">
        <f t="shared" si="1"/>
        <v>48</v>
      </c>
      <c r="F262" s="7" t="s">
        <v>4</v>
      </c>
    </row>
    <row r="263" spans="1:6">
      <c r="A263" s="14">
        <f>'Takeoff Sheet'!A264</f>
        <v>13.16</v>
      </c>
      <c r="B263" s="64" t="str">
        <f>'Takeoff Sheet'!B264</f>
        <v>100mm Y-junction</v>
      </c>
      <c r="C263" s="64">
        <v>2</v>
      </c>
      <c r="D263" s="194">
        <v>4</v>
      </c>
      <c r="E263" s="39">
        <f t="shared" si="1"/>
        <v>8</v>
      </c>
      <c r="F263" s="7" t="s">
        <v>4</v>
      </c>
    </row>
    <row r="264" spans="1:6">
      <c r="A264" s="14">
        <f>'Takeoff Sheet'!A265</f>
        <v>13.17</v>
      </c>
      <c r="B264" s="64" t="str">
        <f>'Takeoff Sheet'!B265</f>
        <v>100mm Floor grate</v>
      </c>
      <c r="C264" s="64">
        <v>1</v>
      </c>
      <c r="D264" s="194">
        <v>4</v>
      </c>
      <c r="E264" s="39">
        <f t="shared" si="1"/>
        <v>4</v>
      </c>
      <c r="F264" s="7" t="s">
        <v>4</v>
      </c>
    </row>
    <row r="265" spans="1:6">
      <c r="A265" s="14">
        <f>'Takeoff Sheet'!A266</f>
        <v>13.18</v>
      </c>
      <c r="B265" s="64" t="str">
        <f>'Takeoff Sheet'!B266</f>
        <v>100mm Vent cowl</v>
      </c>
      <c r="C265" s="64">
        <v>1</v>
      </c>
      <c r="D265" s="194">
        <v>4</v>
      </c>
      <c r="E265" s="39">
        <f t="shared" si="1"/>
        <v>4</v>
      </c>
      <c r="F265" s="7" t="s">
        <v>4</v>
      </c>
    </row>
    <row r="266" spans="1:6">
      <c r="A266" s="14">
        <f>'Takeoff Sheet'!A267</f>
        <v>13.19</v>
      </c>
      <c r="B266" s="64" t="str">
        <f>'Takeoff Sheet'!B267</f>
        <v>50mm PVC Pipe</v>
      </c>
      <c r="C266" s="64">
        <v>5</v>
      </c>
      <c r="D266" s="194">
        <v>4</v>
      </c>
      <c r="E266" s="39">
        <f t="shared" si="1"/>
        <v>20</v>
      </c>
      <c r="F266" s="7" t="s">
        <v>4</v>
      </c>
    </row>
    <row r="267" spans="1:6">
      <c r="A267" s="14">
        <f>'Takeoff Sheet'!A268</f>
        <v>13.2</v>
      </c>
      <c r="B267" s="64" t="str">
        <f>'Takeoff Sheet'!B268</f>
        <v>50mm PVC elbow</v>
      </c>
      <c r="C267" s="64">
        <f>'Takeoff Sheet'!N265</f>
        <v>10</v>
      </c>
      <c r="D267" s="194">
        <v>4</v>
      </c>
      <c r="E267" s="39">
        <f t="shared" si="1"/>
        <v>40</v>
      </c>
      <c r="F267" s="7" t="s">
        <v>4</v>
      </c>
    </row>
    <row r="268" spans="1:6">
      <c r="A268" s="14">
        <f>'Takeoff Sheet'!A269</f>
        <v>13.21</v>
      </c>
      <c r="B268" s="64" t="str">
        <f>'Takeoff Sheet'!B269</f>
        <v>50mm PVCF DWV Clip standard Pipe 50mm</v>
      </c>
      <c r="C268" s="64">
        <v>10</v>
      </c>
      <c r="D268" s="194">
        <v>4</v>
      </c>
      <c r="E268" s="39">
        <f t="shared" si="1"/>
        <v>40</v>
      </c>
      <c r="F268" s="7" t="s">
        <v>4</v>
      </c>
    </row>
    <row r="269" spans="1:6">
      <c r="A269" s="14">
        <f>'Takeoff Sheet'!A270</f>
        <v>13.22</v>
      </c>
      <c r="B269" s="64" t="str">
        <f>'Takeoff Sheet'!B270</f>
        <v>50mm PVC Tee</v>
      </c>
      <c r="C269" s="64">
        <f>'Takeoff Sheet'!N267</f>
        <v>12</v>
      </c>
      <c r="D269" s="194">
        <v>4</v>
      </c>
      <c r="E269" s="39">
        <f t="shared" si="1"/>
        <v>48</v>
      </c>
      <c r="F269" s="7" t="s">
        <v>4</v>
      </c>
    </row>
    <row r="270" spans="1:6">
      <c r="A270" s="14">
        <f>'Takeoff Sheet'!A271</f>
        <v>13.23</v>
      </c>
      <c r="B270" s="64" t="str">
        <f>'Takeoff Sheet'!B271</f>
        <v xml:space="preserve">100-50mm PVC reducer </v>
      </c>
      <c r="C270" s="64">
        <v>6</v>
      </c>
      <c r="D270" s="194">
        <v>4</v>
      </c>
      <c r="E270" s="39">
        <f t="shared" si="1"/>
        <v>24</v>
      </c>
      <c r="F270" s="7" t="s">
        <v>4</v>
      </c>
    </row>
    <row r="271" spans="1:6">
      <c r="A271" s="14">
        <f>'Takeoff Sheet'!A272</f>
        <v>13.24</v>
      </c>
      <c r="B271" s="64" t="str">
        <f>'Takeoff Sheet'!B272</f>
        <v xml:space="preserve">50mm S-trap </v>
      </c>
      <c r="C271" s="64">
        <f>'Takeoff Sheet'!N269</f>
        <v>20</v>
      </c>
      <c r="D271" s="194">
        <v>4</v>
      </c>
      <c r="E271" s="39">
        <f t="shared" si="1"/>
        <v>80</v>
      </c>
      <c r="F271" s="7" t="s">
        <v>4</v>
      </c>
    </row>
    <row r="272" spans="1:6">
      <c r="A272" s="14">
        <f>'Takeoff Sheet'!A273</f>
        <v>13.25</v>
      </c>
      <c r="B272" s="64" t="str">
        <f>'Takeoff Sheet'!B273</f>
        <v>50mm Plug and Waste</v>
      </c>
      <c r="C272" s="64">
        <v>6</v>
      </c>
      <c r="D272" s="194">
        <v>4</v>
      </c>
      <c r="E272" s="39">
        <f t="shared" si="1"/>
        <v>24</v>
      </c>
      <c r="F272" s="7" t="s">
        <v>4</v>
      </c>
    </row>
    <row r="273" spans="1:6">
      <c r="A273" s="14">
        <f>'Takeoff Sheet'!A274</f>
        <v>13.26</v>
      </c>
      <c r="B273" s="64" t="str">
        <f>'Takeoff Sheet'!B274</f>
        <v>50-40mm Reducer</v>
      </c>
      <c r="C273" s="64">
        <f>'Takeoff Sheet'!N271</f>
        <v>6</v>
      </c>
      <c r="D273" s="194">
        <v>4</v>
      </c>
      <c r="E273" s="39">
        <f t="shared" si="1"/>
        <v>24</v>
      </c>
      <c r="F273" s="68" t="s">
        <v>4</v>
      </c>
    </row>
    <row r="274" spans="1:6">
      <c r="A274" s="14">
        <f>'Takeoff Sheet'!A275</f>
        <v>13.27</v>
      </c>
      <c r="B274" s="64" t="str">
        <f>'Takeoff Sheet'!B275</f>
        <v>40mm PVC pipe</v>
      </c>
      <c r="C274" s="64">
        <f>'Takeoff Sheet'!N272</f>
        <v>2</v>
      </c>
      <c r="D274" s="194">
        <v>4</v>
      </c>
      <c r="E274" s="39">
        <f t="shared" si="1"/>
        <v>8</v>
      </c>
      <c r="F274" s="68" t="s">
        <v>265</v>
      </c>
    </row>
    <row r="275" spans="1:6">
      <c r="A275" s="14">
        <f>'Takeoff Sheet'!A276</f>
        <v>13.28</v>
      </c>
      <c r="B275" s="64" t="str">
        <f>'Takeoff Sheet'!B276</f>
        <v>15mm PVC Pipe</v>
      </c>
      <c r="C275" s="64">
        <f>'Takeoff Sheet'!N273</f>
        <v>8</v>
      </c>
      <c r="D275" s="194">
        <v>4</v>
      </c>
      <c r="E275" s="39">
        <f t="shared" si="1"/>
        <v>32</v>
      </c>
      <c r="F275" s="7" t="s">
        <v>4</v>
      </c>
    </row>
    <row r="276" spans="1:6">
      <c r="A276" s="14">
        <f>'Takeoff Sheet'!A277</f>
        <v>13.29</v>
      </c>
      <c r="B276" s="64" t="str">
        <f>'Takeoff Sheet'!B277</f>
        <v>15mm PVC elbow</v>
      </c>
      <c r="C276" s="64">
        <v>20</v>
      </c>
      <c r="D276" s="194">
        <v>4</v>
      </c>
      <c r="E276" s="39">
        <f t="shared" si="1"/>
        <v>80</v>
      </c>
      <c r="F276" s="7" t="s">
        <v>4</v>
      </c>
    </row>
    <row r="277" spans="1:6">
      <c r="A277" s="14">
        <f>'Takeoff Sheet'!A278</f>
        <v>13.3</v>
      </c>
      <c r="B277" s="64" t="str">
        <f>'Takeoff Sheet'!B278</f>
        <v>15mm PVC Male adaptor</v>
      </c>
      <c r="C277" s="64">
        <f>'Takeoff Sheet'!N275</f>
        <v>12</v>
      </c>
      <c r="D277" s="194">
        <v>4</v>
      </c>
      <c r="E277" s="39">
        <f t="shared" si="1"/>
        <v>48</v>
      </c>
      <c r="F277" s="7" t="s">
        <v>4</v>
      </c>
    </row>
    <row r="278" spans="1:6">
      <c r="A278" s="14">
        <f>'Takeoff Sheet'!A279</f>
        <v>13.31</v>
      </c>
      <c r="B278" s="64" t="str">
        <f>'Takeoff Sheet'!B279</f>
        <v>15mm PVC Female adaptor</v>
      </c>
      <c r="C278" s="64">
        <f>'Takeoff Sheet'!N276</f>
        <v>12</v>
      </c>
      <c r="D278" s="194">
        <v>4</v>
      </c>
      <c r="E278" s="39">
        <f t="shared" si="1"/>
        <v>48</v>
      </c>
      <c r="F278" s="7" t="s">
        <v>4</v>
      </c>
    </row>
    <row r="279" spans="1:6">
      <c r="A279" s="14">
        <f>'Takeoff Sheet'!A280</f>
        <v>13.32</v>
      </c>
      <c r="B279" s="64" t="str">
        <f>'Takeoff Sheet'!B280</f>
        <v>15mm PVCF DWV Clip Standard</v>
      </c>
      <c r="C279" s="64">
        <v>20</v>
      </c>
      <c r="D279" s="194">
        <v>4</v>
      </c>
      <c r="E279" s="39">
        <f t="shared" si="1"/>
        <v>80</v>
      </c>
      <c r="F279" s="7" t="s">
        <v>4</v>
      </c>
    </row>
    <row r="280" spans="1:6">
      <c r="A280" s="14">
        <f>'Takeoff Sheet'!A281</f>
        <v>13.33</v>
      </c>
      <c r="B280" s="64" t="str">
        <f>'Takeoff Sheet'!B281</f>
        <v>15mm PVC union</v>
      </c>
      <c r="C280" s="64">
        <v>5</v>
      </c>
      <c r="D280" s="194">
        <v>4</v>
      </c>
      <c r="E280" s="39">
        <f t="shared" si="1"/>
        <v>20</v>
      </c>
      <c r="F280" s="7" t="s">
        <v>4</v>
      </c>
    </row>
    <row r="281" spans="1:6">
      <c r="A281" s="14">
        <f>'Takeoff Sheet'!A282</f>
        <v>13.34</v>
      </c>
      <c r="B281" s="64" t="str">
        <f>'Takeoff Sheet'!B282</f>
        <v>15mm (HK512) 304 Stainless Steel Swivel Kitchen Basin/Sink Faucet water</v>
      </c>
      <c r="C281" s="64">
        <v>1</v>
      </c>
      <c r="D281" s="194">
        <v>4</v>
      </c>
      <c r="E281" s="39">
        <f t="shared" si="1"/>
        <v>4</v>
      </c>
      <c r="F281" s="7" t="s">
        <v>4</v>
      </c>
    </row>
    <row r="282" spans="1:6">
      <c r="A282" s="14">
        <f>'Takeoff Sheet'!A283</f>
        <v>13.35</v>
      </c>
      <c r="B282" s="64" t="str">
        <f>'Takeoff Sheet'!B283</f>
        <v>15mm PVC Stop valve</v>
      </c>
      <c r="C282" s="64">
        <f>'Takeoff Sheet'!N280</f>
        <v>12</v>
      </c>
      <c r="D282" s="194">
        <v>4</v>
      </c>
      <c r="E282" s="39">
        <f t="shared" si="1"/>
        <v>48</v>
      </c>
      <c r="F282" s="7" t="s">
        <v>4</v>
      </c>
    </row>
    <row r="283" spans="1:6">
      <c r="A283" s="14">
        <f>'Takeoff Sheet'!A284</f>
        <v>13.36</v>
      </c>
      <c r="B283" s="64" t="str">
        <f>'Takeoff Sheet'!B284</f>
        <v>15mm F9020101 Pillar cock pressmatic</v>
      </c>
      <c r="C283" s="64">
        <v>3</v>
      </c>
      <c r="D283" s="194">
        <v>4</v>
      </c>
      <c r="E283" s="39">
        <f t="shared" si="1"/>
        <v>12</v>
      </c>
      <c r="F283" s="7" t="s">
        <v>4</v>
      </c>
    </row>
    <row r="284" spans="1:6">
      <c r="A284" s="14">
        <f>'Takeoff Sheet'!A285</f>
        <v>13.37</v>
      </c>
      <c r="B284" s="64" t="str">
        <f>'Takeoff Sheet'!B285</f>
        <v>15mm Brass bib tap</v>
      </c>
      <c r="C284" s="64">
        <f>'Takeoff Sheet'!N282</f>
        <v>1</v>
      </c>
      <c r="D284" s="194">
        <v>4</v>
      </c>
      <c r="E284" s="39">
        <f t="shared" si="1"/>
        <v>4</v>
      </c>
      <c r="F284" s="7" t="s">
        <v>4</v>
      </c>
    </row>
    <row r="285" spans="1:6">
      <c r="A285" s="14">
        <f>'Takeoff Sheet'!A286</f>
        <v>13.38</v>
      </c>
      <c r="B285" s="64" t="str">
        <f>'Takeoff Sheet'!B286</f>
        <v>15mm PVC tee</v>
      </c>
      <c r="C285" s="64">
        <f>'Takeoff Sheet'!N283</f>
        <v>15</v>
      </c>
      <c r="D285" s="194">
        <v>4</v>
      </c>
      <c r="E285" s="39">
        <f t="shared" si="1"/>
        <v>60</v>
      </c>
      <c r="F285" s="7" t="s">
        <v>4</v>
      </c>
    </row>
    <row r="286" spans="1:6">
      <c r="A286" s="14">
        <f>'Takeoff Sheet'!A287</f>
        <v>13.39</v>
      </c>
      <c r="B286" s="64" t="str">
        <f>'Takeoff Sheet'!B287</f>
        <v>P-trap WC complete + Cistern</v>
      </c>
      <c r="C286" s="64">
        <v>1</v>
      </c>
      <c r="D286" s="194">
        <v>4</v>
      </c>
      <c r="E286" s="39">
        <f t="shared" si="1"/>
        <v>4</v>
      </c>
      <c r="F286" s="7" t="s">
        <v>4</v>
      </c>
    </row>
    <row r="287" spans="1:6">
      <c r="A287" s="14">
        <f>'Takeoff Sheet'!A288</f>
        <v>13.4</v>
      </c>
      <c r="B287" s="64" t="str">
        <f>'Takeoff Sheet'!B288</f>
        <v>15mm OSUKI Stainless Steel Shower Set (Head w. steel flexi hose, wall mounting, cock…)</v>
      </c>
      <c r="C287" s="64">
        <v>1</v>
      </c>
      <c r="D287" s="194">
        <v>4</v>
      </c>
      <c r="E287" s="39">
        <f t="shared" si="1"/>
        <v>4</v>
      </c>
      <c r="F287" s="7" t="s">
        <v>4</v>
      </c>
    </row>
    <row r="288" spans="1:6">
      <c r="A288" s="14">
        <f>'Takeoff Sheet'!A289</f>
        <v>13.41</v>
      </c>
      <c r="B288" s="64" t="str">
        <f>'Takeoff Sheet'!B289</f>
        <v>Thread tape</v>
      </c>
      <c r="C288" s="64">
        <v>10</v>
      </c>
      <c r="D288" s="194">
        <v>4</v>
      </c>
      <c r="E288" s="39">
        <f t="shared" si="1"/>
        <v>40</v>
      </c>
      <c r="F288" s="7" t="s">
        <v>4</v>
      </c>
    </row>
    <row r="289" spans="1:8">
      <c r="A289" s="14">
        <v>13.4</v>
      </c>
      <c r="B289" s="64" t="s">
        <v>274</v>
      </c>
      <c r="C289" s="64">
        <v>1</v>
      </c>
      <c r="D289" s="194">
        <v>4</v>
      </c>
      <c r="E289" s="39">
        <f t="shared" si="1"/>
        <v>4</v>
      </c>
      <c r="F289" s="7" t="s">
        <v>4</v>
      </c>
    </row>
    <row r="290" spans="1:8">
      <c r="A290" s="14">
        <f>'Takeoff Sheet'!A291</f>
        <v>13.43</v>
      </c>
      <c r="B290" s="64" t="s">
        <v>317</v>
      </c>
      <c r="C290" s="64">
        <f>'Takeoff Sheet'!N291</f>
        <v>1</v>
      </c>
      <c r="D290" s="194">
        <v>4</v>
      </c>
      <c r="E290" s="39">
        <f t="shared" si="1"/>
        <v>4</v>
      </c>
      <c r="F290" s="7" t="s">
        <v>4</v>
      </c>
    </row>
    <row r="291" spans="1:8">
      <c r="A291" s="14"/>
      <c r="B291" s="64"/>
      <c r="C291" s="64"/>
      <c r="D291" s="194"/>
      <c r="E291" s="64"/>
      <c r="F291" s="7"/>
    </row>
    <row r="292" spans="1:8">
      <c r="A292" s="14"/>
      <c r="B292" s="14"/>
      <c r="C292" s="14"/>
      <c r="D292" s="195"/>
      <c r="E292" s="14"/>
      <c r="F292" s="7"/>
    </row>
    <row r="293" spans="1:8">
      <c r="A293" s="14"/>
      <c r="B293" s="6" t="s">
        <v>36</v>
      </c>
      <c r="F293" s="7"/>
      <c r="H293" s="56"/>
    </row>
    <row r="294" spans="1:8">
      <c r="A294" s="9">
        <f>'Takeoff Sheet'!A292</f>
        <v>0</v>
      </c>
      <c r="F294" s="7"/>
    </row>
    <row r="295" spans="1:8">
      <c r="A295" s="65">
        <f>'Takeoff Sheet'!A293</f>
        <v>14</v>
      </c>
      <c r="B295" s="65" t="str">
        <f>'Takeoff Sheet'!B293</f>
        <v>ELECTRICAL COMPONENTS</v>
      </c>
      <c r="F295" s="7"/>
    </row>
    <row r="296" spans="1:8">
      <c r="A296" s="14">
        <f>'Takeoff Sheet'!A294</f>
        <v>14.01</v>
      </c>
      <c r="B296" s="6" t="str">
        <f>'Takeoff Sheet'!B294</f>
        <v>SUB BOARD 8WAY TSM8</v>
      </c>
      <c r="C296" s="39">
        <f>ROUND('Takeoff Sheet'!N294,0)</f>
        <v>1</v>
      </c>
      <c r="D296" s="187">
        <v>4</v>
      </c>
      <c r="E296" s="39">
        <f>D296*C296</f>
        <v>4</v>
      </c>
      <c r="F296" s="7" t="str">
        <f>'Takeoff Sheet'!O294</f>
        <v>Nos</v>
      </c>
    </row>
    <row r="297" spans="1:8">
      <c r="F297" s="7"/>
    </row>
    <row r="298" spans="1:8">
      <c r="A298" s="14">
        <f>'Takeoff Sheet'!A295</f>
        <v>14.02</v>
      </c>
      <c r="B298" s="6" t="str">
        <f>'Takeoff Sheet'!B295</f>
        <v>HEM CIRCUIT BREAKER 20A 1POLE 4.5KA (GBL IMEX)</v>
      </c>
      <c r="C298" s="39">
        <v>1</v>
      </c>
      <c r="D298" s="187">
        <v>4</v>
      </c>
      <c r="E298" s="39">
        <f>D298*C298</f>
        <v>4</v>
      </c>
      <c r="F298" s="7" t="str">
        <f>'Takeoff Sheet'!O295</f>
        <v>Nos</v>
      </c>
    </row>
    <row r="299" spans="1:8">
      <c r="F299" s="7"/>
    </row>
    <row r="300" spans="1:8">
      <c r="A300" s="14">
        <f>'Takeoff Sheet'!A296</f>
        <v>14.03</v>
      </c>
      <c r="B300" s="6" t="str">
        <f>'Takeoff Sheet'!B296</f>
        <v>HEM CIRCUIT BREAKER 16A 1POLE 4.5KA (GBL IMEX)</v>
      </c>
      <c r="C300" s="39">
        <v>2</v>
      </c>
      <c r="D300" s="187">
        <v>4</v>
      </c>
      <c r="E300" s="39">
        <f>D300*C300</f>
        <v>8</v>
      </c>
      <c r="F300" s="7" t="str">
        <f>'Takeoff Sheet'!O296</f>
        <v>Nos</v>
      </c>
    </row>
    <row r="301" spans="1:8">
      <c r="F301" s="7"/>
    </row>
    <row r="302" spans="1:8">
      <c r="A302" s="14">
        <f>'Takeoff Sheet'!A297</f>
        <v>14.04</v>
      </c>
      <c r="B302" s="6" t="str">
        <f>'Takeoff Sheet'!B297</f>
        <v>HEM CIRCUIT BREAKER 10A 1POLE 4.5KA (GBL IMEX)</v>
      </c>
      <c r="C302" s="39">
        <v>1</v>
      </c>
      <c r="D302" s="187">
        <v>4</v>
      </c>
      <c r="E302" s="39">
        <f>D302*C302</f>
        <v>4</v>
      </c>
      <c r="F302" s="7" t="str">
        <f>'Takeoff Sheet'!O297</f>
        <v>Nos</v>
      </c>
    </row>
    <row r="303" spans="1:8">
      <c r="F303" s="7"/>
    </row>
    <row r="304" spans="1:8">
      <c r="A304" s="9">
        <v>14.05</v>
      </c>
      <c r="B304" s="6" t="s">
        <v>332</v>
      </c>
      <c r="C304" s="39">
        <v>2</v>
      </c>
      <c r="D304" s="187">
        <v>4</v>
      </c>
      <c r="E304" s="39">
        <f>D304*C304</f>
        <v>8</v>
      </c>
      <c r="F304" s="7" t="s">
        <v>4</v>
      </c>
    </row>
    <row r="305" spans="1:6">
      <c r="F305" s="7"/>
    </row>
    <row r="306" spans="1:6">
      <c r="A306" s="14">
        <f>'Takeoff Sheet'!A298</f>
        <v>14.05</v>
      </c>
      <c r="B306" s="6" t="str">
        <f>'Takeoff Sheet'!B298</f>
        <v>WIRE 6mm 2 CORE + EARTH ORANGE PVC CIRCULAR ELECTRICAL DC</v>
      </c>
      <c r="C306" s="39">
        <v>30</v>
      </c>
      <c r="D306" s="187">
        <v>4</v>
      </c>
      <c r="E306" s="39">
        <f>D306*C306</f>
        <v>120</v>
      </c>
      <c r="F306" s="7" t="str">
        <f>'Takeoff Sheet'!O298</f>
        <v>m</v>
      </c>
    </row>
    <row r="307" spans="1:6">
      <c r="F307" s="7"/>
    </row>
    <row r="308" spans="1:6">
      <c r="A308" s="14">
        <f>'Takeoff Sheet'!A299</f>
        <v>14.06</v>
      </c>
      <c r="B308" s="6" t="str">
        <f>'Takeoff Sheet'!B299</f>
        <v>WIRE 1.5mm Flat cable 100m/roll</v>
      </c>
      <c r="C308" s="39">
        <v>1</v>
      </c>
      <c r="D308" s="187">
        <v>4</v>
      </c>
      <c r="E308" s="39">
        <f>D308*C308</f>
        <v>4</v>
      </c>
      <c r="F308" s="7" t="str">
        <f>'Takeoff Sheet'!O299</f>
        <v>Rolls</v>
      </c>
    </row>
    <row r="309" spans="1:6">
      <c r="F309" s="7"/>
    </row>
    <row r="310" spans="1:6">
      <c r="A310" s="14">
        <f>'Takeoff Sheet'!A300</f>
        <v>14.07</v>
      </c>
      <c r="B310" s="6" t="str">
        <f>'Takeoff Sheet'!B300</f>
        <v>WIRE 2.5mm Flat cable 100m/roll</v>
      </c>
      <c r="C310" s="39">
        <v>1</v>
      </c>
      <c r="D310" s="187">
        <v>4</v>
      </c>
      <c r="E310" s="39">
        <f>D310*C310</f>
        <v>4</v>
      </c>
      <c r="F310" s="7" t="str">
        <f>'Takeoff Sheet'!O300</f>
        <v>Rolls</v>
      </c>
    </row>
    <row r="311" spans="1:6">
      <c r="F311" s="7"/>
    </row>
    <row r="312" spans="1:6">
      <c r="A312" s="14">
        <f>'Takeoff Sheet'!A301</f>
        <v>14.08</v>
      </c>
      <c r="B312" s="6" t="str">
        <f>'Takeoff Sheet'!B301</f>
        <v>Double switch + Mounting</v>
      </c>
      <c r="C312" s="39">
        <v>2</v>
      </c>
      <c r="D312" s="187">
        <v>4</v>
      </c>
      <c r="E312" s="39">
        <f>D312*C312</f>
        <v>8</v>
      </c>
      <c r="F312" s="7" t="str">
        <f>'Takeoff Sheet'!O301</f>
        <v>Nos</v>
      </c>
    </row>
    <row r="313" spans="1:6">
      <c r="F313" s="7"/>
    </row>
    <row r="314" spans="1:6">
      <c r="A314" s="14">
        <f>'Takeoff Sheet'!A302</f>
        <v>14.09</v>
      </c>
      <c r="B314" s="6" t="str">
        <f>'Takeoff Sheet'!B302</f>
        <v>Single switch +Mounting</v>
      </c>
      <c r="C314" s="39">
        <v>8</v>
      </c>
      <c r="D314" s="187">
        <v>4</v>
      </c>
      <c r="E314" s="39">
        <f>D314*C314</f>
        <v>32</v>
      </c>
      <c r="F314" s="7" t="str">
        <f>'Takeoff Sheet'!O302</f>
        <v>Nos</v>
      </c>
    </row>
    <row r="315" spans="1:6">
      <c r="F315" s="7"/>
    </row>
    <row r="316" spans="1:6">
      <c r="A316" s="14">
        <f>'Takeoff Sheet'!A303</f>
        <v>14.1</v>
      </c>
      <c r="B316" s="6" t="str">
        <f>'Takeoff Sheet'!B303</f>
        <v xml:space="preserve">TAPE ‐ PVC INSULATING BLACK 18mm x 15yd EACH </v>
      </c>
      <c r="C316" s="39">
        <f>ROUND('Takeoff Sheet'!N303,0)</f>
        <v>2</v>
      </c>
      <c r="D316" s="187">
        <v>4</v>
      </c>
      <c r="E316" s="39">
        <f>D316*C316</f>
        <v>8</v>
      </c>
      <c r="F316" s="7" t="str">
        <f>'Takeoff Sheet'!O303</f>
        <v>Nos</v>
      </c>
    </row>
    <row r="317" spans="1:6">
      <c r="F317" s="7"/>
    </row>
    <row r="318" spans="1:6">
      <c r="A318" s="14">
        <f>'Takeoff Sheet'!A304</f>
        <v>14.11</v>
      </c>
      <c r="B318" s="6" t="str">
        <f>'Takeoff Sheet'!B304</f>
        <v>TAPE ‐ PVC INSULATING GREEN 18mm x 10yrd EACH</v>
      </c>
      <c r="C318" s="39">
        <f>ROUND('Takeoff Sheet'!N304,0)</f>
        <v>2</v>
      </c>
      <c r="D318" s="187">
        <v>4</v>
      </c>
      <c r="E318" s="39">
        <f>D318*C318</f>
        <v>8</v>
      </c>
      <c r="F318" s="7" t="str">
        <f>'Takeoff Sheet'!O304</f>
        <v>Nos</v>
      </c>
    </row>
    <row r="319" spans="1:6">
      <c r="F319" s="7"/>
    </row>
    <row r="320" spans="1:6">
      <c r="A320" s="14">
        <f>'Takeoff Sheet'!A305</f>
        <v>14.12</v>
      </c>
      <c r="B320" s="6" t="str">
        <f>'Takeoff Sheet'!B305</f>
        <v xml:space="preserve">TAPE ‐ PVC INSULATING RED 18mm x 10yd               </v>
      </c>
      <c r="C320" s="39">
        <f>ROUND('Takeoff Sheet'!N305,0)</f>
        <v>2</v>
      </c>
      <c r="D320" s="187">
        <v>4</v>
      </c>
      <c r="E320" s="39">
        <f>D320*C320</f>
        <v>8</v>
      </c>
      <c r="F320" s="7" t="str">
        <f>'Takeoff Sheet'!O305</f>
        <v>Nos</v>
      </c>
    </row>
    <row r="321" spans="1:6">
      <c r="F321" s="7"/>
    </row>
    <row r="322" spans="1:6">
      <c r="A322" s="14">
        <f>'Takeoff Sheet'!A306</f>
        <v>14.13</v>
      </c>
      <c r="B322" s="6" t="str">
        <f>'Takeoff Sheet'!B306</f>
        <v>HEM JUNCTION BOX BIG JB1 &amp; JB2</v>
      </c>
      <c r="C322" s="39">
        <v>6</v>
      </c>
      <c r="D322" s="187">
        <v>4</v>
      </c>
      <c r="E322" s="39">
        <f>D322*C322</f>
        <v>24</v>
      </c>
      <c r="F322" s="7" t="str">
        <f>'Takeoff Sheet'!O306</f>
        <v>Nos</v>
      </c>
    </row>
    <row r="323" spans="1:6">
      <c r="F323" s="7"/>
    </row>
    <row r="324" spans="1:6">
      <c r="A324" s="14">
        <f>'Takeoff Sheet'!A307</f>
        <v>14.14</v>
      </c>
      <c r="B324" s="6" t="str">
        <f>'Takeoff Sheet'!B307</f>
        <v>15mm PVC Conduit pipe</v>
      </c>
      <c r="C324" s="39">
        <f>'Takeoff Sheet'!N307</f>
        <v>10</v>
      </c>
      <c r="D324" s="187">
        <v>4</v>
      </c>
      <c r="E324" s="39">
        <f>D324*C324</f>
        <v>40</v>
      </c>
      <c r="F324" s="7" t="str">
        <f>'Takeoff Sheet'!O307</f>
        <v>Length(s)</v>
      </c>
    </row>
    <row r="325" spans="1:6">
      <c r="F325" s="7"/>
    </row>
    <row r="326" spans="1:6">
      <c r="A326" s="14">
        <f>'Takeoff Sheet'!A308</f>
        <v>14.15</v>
      </c>
      <c r="B326" s="6" t="str">
        <f>'Takeoff Sheet'!B308</f>
        <v>20mm PVC Conduit pipe</v>
      </c>
      <c r="C326" s="39">
        <v>20</v>
      </c>
      <c r="D326" s="187">
        <v>4</v>
      </c>
      <c r="E326" s="39">
        <f>D326*C326</f>
        <v>80</v>
      </c>
      <c r="F326" s="7" t="str">
        <f>'Takeoff Sheet'!O308</f>
        <v>Length(s)</v>
      </c>
    </row>
    <row r="327" spans="1:6">
      <c r="F327" s="7"/>
    </row>
    <row r="328" spans="1:6">
      <c r="A328" s="14">
        <f>'Takeoff Sheet'!A309</f>
        <v>14.16</v>
      </c>
      <c r="B328" s="6" t="str">
        <f>'Takeoff Sheet'!B309</f>
        <v>15mm Galv. Pipe</v>
      </c>
      <c r="C328" s="39">
        <f>ROUND('Takeoff Sheet'!N309,0)</f>
        <v>1</v>
      </c>
      <c r="D328" s="187">
        <v>4</v>
      </c>
      <c r="E328" s="39">
        <f>D328*C328</f>
        <v>4</v>
      </c>
      <c r="F328" s="7" t="str">
        <f>'Takeoff Sheet'!O309</f>
        <v>Length(s)</v>
      </c>
    </row>
    <row r="329" spans="1:6">
      <c r="F329" s="7"/>
    </row>
    <row r="330" spans="1:6">
      <c r="A330" s="14">
        <f>'Takeoff Sheet'!A310</f>
        <v>14.17</v>
      </c>
      <c r="B330" s="6" t="str">
        <f>'Takeoff Sheet'!B310</f>
        <v>HOSE CLAMP 16‐27mm x 12mm NORMA [100PCS/PKT]</v>
      </c>
      <c r="C330" s="39">
        <v>1</v>
      </c>
      <c r="D330" s="187">
        <v>4</v>
      </c>
      <c r="E330" s="39">
        <f>D330*C330</f>
        <v>4</v>
      </c>
      <c r="F330" s="7" t="str">
        <f>'Takeoff Sheet'!O310</f>
        <v>Nos</v>
      </c>
    </row>
    <row r="331" spans="1:6">
      <c r="F331" s="7"/>
    </row>
    <row r="332" spans="1:6">
      <c r="A332" s="14">
        <f>'Takeoff Sheet'!A311</f>
        <v>14.18</v>
      </c>
      <c r="B332" s="6" t="str">
        <f>'Takeoff Sheet'!B311</f>
        <v>25mm PVC Conduit pipe</v>
      </c>
      <c r="C332" s="39">
        <f>ROUND('Takeoff Sheet'!N311,0)</f>
        <v>10</v>
      </c>
      <c r="D332" s="187">
        <v>4</v>
      </c>
      <c r="E332" s="39">
        <f>D332*C332</f>
        <v>40</v>
      </c>
      <c r="F332" s="7" t="str">
        <f>'Takeoff Sheet'!O311</f>
        <v>Length(s)</v>
      </c>
    </row>
    <row r="333" spans="1:6">
      <c r="F333" s="7"/>
    </row>
    <row r="334" spans="1:6">
      <c r="A334" s="14">
        <f>'Takeoff Sheet'!A312</f>
        <v>14.19</v>
      </c>
      <c r="B334" s="6" t="str">
        <f>'Takeoff Sheet'!B312</f>
        <v>Caravan RV Double Pole Dual 240V Power Point with Twin USB Charging with Mounting block</v>
      </c>
      <c r="C334" s="39">
        <f>ROUND('Takeoff Sheet'!N312,0)</f>
        <v>10</v>
      </c>
      <c r="D334" s="187">
        <v>4</v>
      </c>
      <c r="E334" s="39">
        <f>D334*C334</f>
        <v>40</v>
      </c>
      <c r="F334" s="7" t="str">
        <f>'Takeoff Sheet'!O312</f>
        <v>Nos</v>
      </c>
    </row>
    <row r="335" spans="1:6">
      <c r="F335" s="7"/>
    </row>
    <row r="336" spans="1:6">
      <c r="A336" s="14">
        <f>'Takeoff Sheet'!A313</f>
        <v>14.2</v>
      </c>
      <c r="B336" s="6" t="str">
        <f>'Takeoff Sheet'!B313</f>
        <v>Batten holder</v>
      </c>
      <c r="C336" s="39">
        <f>ROUND('Takeoff Sheet'!N313,0)</f>
        <v>10</v>
      </c>
      <c r="D336" s="187">
        <v>4</v>
      </c>
      <c r="E336" s="39">
        <f>D336*C336</f>
        <v>40</v>
      </c>
      <c r="F336" s="7" t="str">
        <f>'Takeoff Sheet'!O313</f>
        <v>Nos</v>
      </c>
    </row>
    <row r="337" spans="1:8">
      <c r="F337" s="7"/>
    </row>
    <row r="338" spans="1:8">
      <c r="A338" s="14">
        <f>'Takeoff Sheet'!A314</f>
        <v>14.21</v>
      </c>
      <c r="B338" s="64" t="str">
        <f>'Takeoff Sheet'!B314</f>
        <v>ELEMENTS ENERGY SAVER BULB SPIRAL 20W DAYLIGHT ‐ 6500K BC (</v>
      </c>
      <c r="C338" s="39">
        <v>10</v>
      </c>
      <c r="D338" s="187">
        <v>4</v>
      </c>
      <c r="E338" s="39">
        <f>D338*C338</f>
        <v>40</v>
      </c>
      <c r="F338" s="7" t="s">
        <v>2</v>
      </c>
    </row>
    <row r="339" spans="1:8">
      <c r="A339" s="14"/>
      <c r="B339" s="14"/>
      <c r="C339" s="39">
        <f>ROUND('Takeoff Sheet'!N316,0)</f>
        <v>0</v>
      </c>
      <c r="F339" s="7"/>
    </row>
    <row r="340" spans="1:8">
      <c r="A340" s="14">
        <f>'Takeoff Sheet'!A315</f>
        <v>14.22</v>
      </c>
      <c r="B340" s="64" t="str">
        <f>'Takeoff Sheet'!B315</f>
        <v>Earth wire - Green</v>
      </c>
      <c r="C340" s="39">
        <v>10</v>
      </c>
      <c r="D340" s="187">
        <v>4</v>
      </c>
      <c r="E340" s="39">
        <f>D340*C340</f>
        <v>40</v>
      </c>
      <c r="F340" s="7" t="s">
        <v>2</v>
      </c>
    </row>
    <row r="341" spans="1:8">
      <c r="A341" s="14"/>
      <c r="F341" s="7"/>
    </row>
    <row r="342" spans="1:8">
      <c r="A342" s="14"/>
      <c r="B342" s="6" t="s">
        <v>36</v>
      </c>
      <c r="F342" s="7"/>
      <c r="H342" s="56"/>
    </row>
    <row r="343" spans="1:8">
      <c r="A343" s="9">
        <f>'Takeoff Sheet'!A316</f>
        <v>0</v>
      </c>
      <c r="F343" s="7"/>
    </row>
    <row r="344" spans="1:8">
      <c r="A344" s="65">
        <f>'Takeoff Sheet'!A317</f>
        <v>15</v>
      </c>
      <c r="B344" s="65" t="str">
        <f>'Takeoff Sheet'!B317</f>
        <v>FIXINGS AND FASTNERS</v>
      </c>
      <c r="F344" s="7"/>
    </row>
    <row r="345" spans="1:8">
      <c r="A345" s="14">
        <f>'Takeoff Sheet'!A318</f>
        <v>15.01</v>
      </c>
      <c r="B345" s="6" t="str">
        <f>'Takeoff Sheet'!B318</f>
        <v>100mm Galv. Jolthead nail</v>
      </c>
      <c r="C345" s="39">
        <v>25</v>
      </c>
      <c r="D345" s="187">
        <v>4</v>
      </c>
      <c r="E345" s="39">
        <f>D345*C345</f>
        <v>100</v>
      </c>
      <c r="F345" s="7" t="str">
        <f>'Takeoff Sheet'!O318</f>
        <v>Kg</v>
      </c>
    </row>
    <row r="346" spans="1:8">
      <c r="F346" s="7"/>
    </row>
    <row r="347" spans="1:8">
      <c r="A347" s="14">
        <f>'Takeoff Sheet'!A319</f>
        <v>15.02</v>
      </c>
      <c r="B347" s="6" t="str">
        <f>'Takeoff Sheet'!B319</f>
        <v>75mm Galv. Jolthead nail</v>
      </c>
      <c r="C347" s="39">
        <v>25</v>
      </c>
      <c r="D347" s="187">
        <v>4</v>
      </c>
      <c r="E347" s="39">
        <f>D347*C347</f>
        <v>100</v>
      </c>
      <c r="F347" s="7" t="str">
        <f>'Takeoff Sheet'!O319</f>
        <v>Kg</v>
      </c>
    </row>
    <row r="348" spans="1:8">
      <c r="F348" s="7"/>
    </row>
    <row r="349" spans="1:8">
      <c r="A349" s="14">
        <f>'Takeoff Sheet'!A320</f>
        <v>15.03</v>
      </c>
      <c r="B349" s="6" t="str">
        <f>'Takeoff Sheet'!B320</f>
        <v>50mm Galv. Jolthead nail</v>
      </c>
      <c r="C349" s="39">
        <v>10</v>
      </c>
      <c r="D349" s="187">
        <v>4</v>
      </c>
      <c r="E349" s="39">
        <f>D349*C349</f>
        <v>40</v>
      </c>
      <c r="F349" s="7" t="str">
        <f>'Takeoff Sheet'!O320</f>
        <v>Kg</v>
      </c>
    </row>
    <row r="350" spans="1:8">
      <c r="F350" s="7"/>
    </row>
    <row r="351" spans="1:8">
      <c r="A351" s="14">
        <f>'Takeoff Sheet'!A321</f>
        <v>15.04</v>
      </c>
      <c r="B351" s="6" t="str">
        <f>'Takeoff Sheet'!B321</f>
        <v>40mm Galv. Jolthead nail</v>
      </c>
      <c r="C351" s="39">
        <v>10</v>
      </c>
      <c r="D351" s="187">
        <v>4</v>
      </c>
      <c r="E351" s="39">
        <f>D351*C351</f>
        <v>40</v>
      </c>
      <c r="F351" s="7" t="str">
        <f>'Takeoff Sheet'!O321</f>
        <v>Kg</v>
      </c>
    </row>
    <row r="352" spans="1:8">
      <c r="F352" s="7"/>
    </row>
    <row r="353" spans="1:6">
      <c r="A353" s="14">
        <f>'Takeoff Sheet'!A322</f>
        <v>15.05</v>
      </c>
      <c r="B353" s="6" t="str">
        <f>'Takeoff Sheet'!B322</f>
        <v>40mm Galv. Clout jolthead nail</v>
      </c>
      <c r="C353" s="39">
        <v>10</v>
      </c>
      <c r="D353" s="187">
        <v>4</v>
      </c>
      <c r="E353" s="39">
        <f>D353*C353</f>
        <v>40</v>
      </c>
      <c r="F353" s="7" t="str">
        <f>'Takeoff Sheet'!O322</f>
        <v>Kg</v>
      </c>
    </row>
    <row r="354" spans="1:6">
      <c r="F354" s="7"/>
    </row>
    <row r="355" spans="1:6">
      <c r="A355" s="14">
        <f>'Takeoff Sheet'!A323</f>
        <v>15.06</v>
      </c>
      <c r="B355" s="6" t="str">
        <f>'Takeoff Sheet'!B323</f>
        <v>NAIL JOLT HEAD GALVANIZED PANEL PIN 25mm [1"] x 1.60mm x 1.0k</v>
      </c>
      <c r="C355" s="39">
        <v>5</v>
      </c>
      <c r="D355" s="187">
        <v>4</v>
      </c>
      <c r="E355" s="39">
        <f>D355*C355</f>
        <v>20</v>
      </c>
      <c r="F355" s="7" t="str">
        <f>'Takeoff Sheet'!O323</f>
        <v>Kg</v>
      </c>
    </row>
    <row r="356" spans="1:6">
      <c r="F356" s="7"/>
    </row>
    <row r="357" spans="1:6">
      <c r="A357" s="14">
        <f>'Takeoff Sheet'!A324</f>
        <v>15.07</v>
      </c>
      <c r="B357" s="6" t="str">
        <f>'Takeoff Sheet'!B324</f>
        <v xml:space="preserve">ROOFING SCREW CORRUDEK TO TIMBER CYCLONE           </v>
      </c>
      <c r="C357" s="39">
        <v>5</v>
      </c>
      <c r="D357" s="187">
        <v>4</v>
      </c>
      <c r="E357" s="39">
        <f>D357*C357</f>
        <v>20</v>
      </c>
      <c r="F357" s="7" t="str">
        <f>'Takeoff Sheet'!O324</f>
        <v>Kg</v>
      </c>
    </row>
    <row r="358" spans="1:6">
      <c r="F358" s="7"/>
    </row>
    <row r="359" spans="1:6">
      <c r="A359" s="14">
        <f>'Takeoff Sheet'!A325</f>
        <v>15.08</v>
      </c>
      <c r="B359" s="6" t="str">
        <f>'Takeoff Sheet'!B325</f>
        <v>BOLT &amp; NUT MILD STEEL HEXAGON HEAD GALVANISED 12mm</v>
      </c>
      <c r="C359" s="39">
        <v>32</v>
      </c>
      <c r="D359" s="187">
        <v>4</v>
      </c>
      <c r="E359" s="39">
        <f>D359*C359</f>
        <v>128</v>
      </c>
      <c r="F359" s="7" t="str">
        <f>'Takeoff Sheet'!O325</f>
        <v>Nos</v>
      </c>
    </row>
    <row r="360" spans="1:6">
      <c r="F360" s="7"/>
    </row>
    <row r="361" spans="1:6">
      <c r="A361" s="14">
        <f>'Takeoff Sheet'!A326</f>
        <v>15.09</v>
      </c>
      <c r="B361" s="6" t="str">
        <f>'Takeoff Sheet'!B326</f>
        <v>Knuckle nailplates 76mmx317mm 10m/roll</v>
      </c>
      <c r="C361" s="39">
        <f>ROUND('Takeoff Sheet'!N326,0)</f>
        <v>1</v>
      </c>
      <c r="D361" s="187">
        <v>4</v>
      </c>
      <c r="E361" s="39">
        <f>D361*C361</f>
        <v>4</v>
      </c>
      <c r="F361" s="7" t="str">
        <f>'Takeoff Sheet'!O326</f>
        <v>Rolls</v>
      </c>
    </row>
    <row r="362" spans="1:6">
      <c r="F362" s="7"/>
    </row>
    <row r="363" spans="1:6">
      <c r="A363" s="14">
        <f>'Takeoff Sheet'!A327</f>
        <v>15.1</v>
      </c>
      <c r="B363" s="6" t="str">
        <f>'Takeoff Sheet'!B327</f>
        <v xml:space="preserve">Maxi strap </v>
      </c>
      <c r="C363" s="39">
        <v>2</v>
      </c>
      <c r="D363" s="187">
        <v>4</v>
      </c>
      <c r="E363" s="39">
        <f>D363*C363</f>
        <v>8</v>
      </c>
      <c r="F363" s="7" t="str">
        <f>'Takeoff Sheet'!O327</f>
        <v>Rolls</v>
      </c>
    </row>
    <row r="364" spans="1:6">
      <c r="F364" s="7"/>
    </row>
    <row r="366" spans="1:6">
      <c r="A366" s="14">
        <f>'Takeoff Sheet'!A330</f>
        <v>15.13</v>
      </c>
      <c r="B366" s="6" t="s">
        <v>188</v>
      </c>
      <c r="C366" s="39">
        <v>10</v>
      </c>
      <c r="D366" s="187">
        <v>4</v>
      </c>
      <c r="E366" s="39">
        <f>D366*C366</f>
        <v>40</v>
      </c>
      <c r="F366" s="8" t="s">
        <v>189</v>
      </c>
    </row>
    <row r="368" spans="1:6">
      <c r="A368" s="14">
        <f>'Takeoff Sheet'!A331</f>
        <v>15.14</v>
      </c>
      <c r="B368" s="6" t="s">
        <v>190</v>
      </c>
      <c r="C368" s="39">
        <v>10</v>
      </c>
      <c r="D368" s="187">
        <v>4</v>
      </c>
      <c r="E368" s="39">
        <f>D368*C368</f>
        <v>40</v>
      </c>
      <c r="F368" s="8" t="s">
        <v>4</v>
      </c>
    </row>
    <row r="370" spans="1:10">
      <c r="A370" s="14">
        <f>'Takeoff Sheet'!A332</f>
        <v>15.15</v>
      </c>
      <c r="B370" s="6" t="s">
        <v>191</v>
      </c>
      <c r="C370" s="39">
        <v>40</v>
      </c>
      <c r="D370" s="187">
        <v>4</v>
      </c>
      <c r="E370" s="39">
        <f>D370*C370</f>
        <v>160</v>
      </c>
      <c r="F370" s="8" t="s">
        <v>4</v>
      </c>
    </row>
    <row r="371" spans="1:10">
      <c r="A371" s="14"/>
    </row>
    <row r="372" spans="1:10">
      <c r="A372" s="14">
        <f>'Takeoff Sheet'!A333</f>
        <v>15.16</v>
      </c>
      <c r="B372" s="6" t="s">
        <v>192</v>
      </c>
      <c r="C372" s="39">
        <v>10</v>
      </c>
      <c r="D372" s="187">
        <v>4</v>
      </c>
      <c r="E372" s="39">
        <f>D372*C372</f>
        <v>40</v>
      </c>
      <c r="F372" s="8" t="s">
        <v>189</v>
      </c>
    </row>
    <row r="374" spans="1:10">
      <c r="A374" s="14">
        <f>'Takeoff Sheet'!A334</f>
        <v>15.17</v>
      </c>
      <c r="B374" s="6" t="s">
        <v>194</v>
      </c>
      <c r="C374" s="39">
        <v>1</v>
      </c>
      <c r="D374" s="187">
        <v>4</v>
      </c>
      <c r="E374" s="39">
        <f>D374*C374</f>
        <v>4</v>
      </c>
      <c r="F374" s="8" t="s">
        <v>273</v>
      </c>
    </row>
    <row r="376" spans="1:10">
      <c r="A376" s="14">
        <f>'Takeoff Sheet'!A335</f>
        <v>15.18</v>
      </c>
      <c r="B376" s="6" t="s">
        <v>193</v>
      </c>
      <c r="C376" s="39">
        <v>1</v>
      </c>
      <c r="D376" s="187">
        <v>4</v>
      </c>
      <c r="E376" s="39">
        <f>D376*C376</f>
        <v>4</v>
      </c>
      <c r="F376" s="8" t="s">
        <v>273</v>
      </c>
    </row>
    <row r="377" spans="1:10">
      <c r="A377" s="14"/>
    </row>
    <row r="378" spans="1:10">
      <c r="A378" s="14">
        <f>'Takeoff Sheet'!A336</f>
        <v>15.19</v>
      </c>
      <c r="B378" s="6" t="str">
        <f>'Takeoff Sheet'!B336</f>
        <v>4" Batten screws</v>
      </c>
      <c r="C378" s="39">
        <v>25</v>
      </c>
      <c r="D378" s="187">
        <v>4</v>
      </c>
      <c r="E378" s="39">
        <f>D378*C378</f>
        <v>100</v>
      </c>
      <c r="F378" s="8" t="str">
        <f>'Takeoff Sheet'!O336</f>
        <v>kg</v>
      </c>
    </row>
    <row r="379" spans="1:10">
      <c r="A379" s="14"/>
      <c r="J379" s="8" t="s">
        <v>342</v>
      </c>
    </row>
    <row r="381" spans="1:10">
      <c r="B381" s="9"/>
      <c r="C381" s="9"/>
      <c r="D381" s="196"/>
      <c r="E381" s="9"/>
    </row>
    <row r="383" spans="1:10" hidden="1"/>
    <row r="384" spans="1:10" hidden="1">
      <c r="H384" s="56"/>
    </row>
    <row r="385" spans="2:8" hidden="1">
      <c r="H385" s="56"/>
    </row>
    <row r="386" spans="2:8" hidden="1"/>
    <row r="387" spans="2:8">
      <c r="B387" s="6" t="s">
        <v>195</v>
      </c>
      <c r="H387" s="56"/>
    </row>
  </sheetData>
  <phoneticPr fontId="20" type="noConversion"/>
  <printOptions horizontalCentered="1"/>
  <pageMargins left="0.25" right="0.25" top="0.75" bottom="0.75" header="0.3" footer="0.3"/>
  <pageSetup paperSize="9"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60"/>
  <sheetViews>
    <sheetView showZeros="0" workbookViewId="0">
      <pane ySplit="8" topLeftCell="A86" activePane="bottomLeft" state="frozen"/>
      <selection pane="bottomLeft" activeCell="C97" sqref="C97"/>
    </sheetView>
  </sheetViews>
  <sheetFormatPr defaultColWidth="8.85546875" defaultRowHeight="12.75"/>
  <cols>
    <col min="1" max="1" width="8.7109375" style="9" customWidth="1"/>
    <col min="2" max="2" width="76.42578125" style="6" bestFit="1" customWidth="1"/>
    <col min="3" max="3" width="8.7109375" style="39" customWidth="1"/>
    <col min="4" max="4" width="8.140625" style="8" customWidth="1"/>
    <col min="5" max="5" width="10.42578125" style="6" customWidth="1"/>
    <col min="6" max="6" width="16.28515625" style="6" customWidth="1"/>
    <col min="7" max="7" width="15.140625" style="8" customWidth="1"/>
    <col min="8" max="16384" width="8.85546875" style="8"/>
  </cols>
  <sheetData>
    <row r="1" spans="1:6" s="4" customFormat="1" ht="15.75">
      <c r="A1" s="49" t="s">
        <v>76</v>
      </c>
      <c r="B1" s="32"/>
      <c r="C1" s="36"/>
      <c r="D1" s="33"/>
      <c r="E1" s="32"/>
      <c r="F1" s="50" t="s">
        <v>326</v>
      </c>
    </row>
    <row r="2" spans="1:6" s="4" customFormat="1" ht="16.5" thickBot="1">
      <c r="A2" s="51" t="s">
        <v>98</v>
      </c>
      <c r="B2" s="34"/>
      <c r="C2" s="37"/>
      <c r="D2" s="35"/>
      <c r="E2" s="34"/>
      <c r="F2" s="52"/>
    </row>
    <row r="3" spans="1:6" s="4" customFormat="1" ht="29.45" customHeight="1">
      <c r="B3" s="2"/>
      <c r="C3" s="38"/>
      <c r="D3" s="3"/>
      <c r="E3" s="2"/>
      <c r="F3" s="57" t="s">
        <v>100</v>
      </c>
    </row>
    <row r="4" spans="1:6">
      <c r="A4" s="43" t="s">
        <v>97</v>
      </c>
      <c r="B4" s="24" t="str">
        <f>'Takeoff Sheet'!C4</f>
        <v>C-Grade MFE</v>
      </c>
      <c r="C4" s="46" t="s">
        <v>81</v>
      </c>
      <c r="D4" s="25"/>
      <c r="E4" s="26"/>
      <c r="F4" s="27">
        <f>'Takeoff Sheet'!I4</f>
        <v>180203</v>
      </c>
    </row>
    <row r="5" spans="1:6">
      <c r="A5" s="44" t="s">
        <v>77</v>
      </c>
      <c r="B5" s="22" t="str">
        <f>'Takeoff Sheet'!C5</f>
        <v>L.Iuta</v>
      </c>
      <c r="C5" s="47" t="s">
        <v>79</v>
      </c>
      <c r="D5" s="7"/>
      <c r="F5" s="28">
        <v>43530</v>
      </c>
    </row>
    <row r="6" spans="1:6">
      <c r="A6" s="45" t="s">
        <v>78</v>
      </c>
      <c r="B6" s="29" t="str">
        <f>'Takeoff Sheet'!C6</f>
        <v>K.Tokaia</v>
      </c>
      <c r="C6" s="48" t="s">
        <v>80</v>
      </c>
      <c r="D6" s="30"/>
      <c r="E6" s="31"/>
      <c r="F6" s="53" t="str">
        <f>'Takeoff Sheet'!I6</f>
        <v>Preliminary</v>
      </c>
    </row>
    <row r="7" spans="1:6">
      <c r="D7" s="7"/>
    </row>
    <row r="8" spans="1:6" ht="14.45" customHeight="1">
      <c r="A8" s="15" t="s">
        <v>0</v>
      </c>
      <c r="B8" s="23"/>
      <c r="C8" s="42" t="s">
        <v>3</v>
      </c>
      <c r="D8" s="17" t="s">
        <v>47</v>
      </c>
      <c r="E8" s="16" t="s">
        <v>6</v>
      </c>
      <c r="F8" s="18" t="s">
        <v>1</v>
      </c>
    </row>
    <row r="9" spans="1:6" s="12" customFormat="1">
      <c r="A9" s="172">
        <v>1</v>
      </c>
      <c r="B9" s="10" t="str">
        <f>'Takeoff Sheet'!B41</f>
        <v>50x50 Non-structural pine</v>
      </c>
      <c r="C9" s="175">
        <f>SUM('Pricing List for Tender'!C43,'Pricing List for Tender'!C47,'Pricing List for Tender'!C155,'Pricing List for Tender'!C156)</f>
        <v>130</v>
      </c>
      <c r="D9" s="7" t="str">
        <f>'Takeoff Sheet'!O41</f>
        <v>Length(s)</v>
      </c>
      <c r="E9" s="6"/>
      <c r="F9" s="6"/>
    </row>
    <row r="10" spans="1:6">
      <c r="A10" s="172">
        <v>2</v>
      </c>
      <c r="B10" s="10" t="str">
        <f>'Takeoff Sheet'!B43</f>
        <v>20mm Formply</v>
      </c>
      <c r="C10" s="175">
        <f>ROUND('Takeoff Sheet'!N43,0)</f>
        <v>9</v>
      </c>
      <c r="D10" s="7" t="str">
        <f>'Takeoff Sheet'!O43</f>
        <v>Sheet</v>
      </c>
    </row>
    <row r="11" spans="1:6">
      <c r="A11" s="172">
        <v>3</v>
      </c>
      <c r="B11" s="10" t="str">
        <f>'Takeoff Sheet'!B46</f>
        <v>100x25 Non-structural pine</v>
      </c>
      <c r="C11" s="175">
        <f>ROUND('Takeoff Sheet'!N46,0)</f>
        <v>9</v>
      </c>
      <c r="D11" s="7" t="str">
        <f>'Takeoff Sheet'!O46</f>
        <v>Length(s)</v>
      </c>
    </row>
    <row r="12" spans="1:6">
      <c r="A12" s="172">
        <v>4</v>
      </c>
      <c r="B12" s="10" t="str">
        <f>'Takeoff Sheet'!B54</f>
        <v>40kg Cement</v>
      </c>
      <c r="C12" s="175">
        <f>SUM('Pricing List for Tender'!C56,'Pricing List for Tender'!C60,'Pricing List for Tender'!C64,'Pricing List for Tender'!C68,'Pricing List for Tender'!C72,'Pricing List for Tender'!C77,'Pricing List for Tender'!C85)</f>
        <v>427</v>
      </c>
      <c r="D12" s="7" t="str">
        <f>'Takeoff Sheet'!O54</f>
        <v>Bags</v>
      </c>
    </row>
    <row r="13" spans="1:6">
      <c r="A13" s="172">
        <v>5</v>
      </c>
      <c r="B13" s="10" t="str">
        <f>'Takeoff Sheet'!B55</f>
        <v>Aggregate</v>
      </c>
      <c r="C13" s="175">
        <f>SUM('Pricing List for Tender'!C57,'Pricing List for Tender'!C61,'Pricing List for Tender'!C65,'Pricing List for Tender'!C69,'Pricing List for Tender'!C73,'Pricing List for Tender'!C86)</f>
        <v>143</v>
      </c>
      <c r="D13" s="7" t="str">
        <f>'Takeoff Sheet'!O55</f>
        <v>m³</v>
      </c>
    </row>
    <row r="14" spans="1:6">
      <c r="A14" s="172">
        <v>6</v>
      </c>
      <c r="B14" s="10" t="str">
        <f>'Takeoff Sheet'!B56</f>
        <v>Sand</v>
      </c>
      <c r="C14" s="175">
        <f>SUM('Pricing List for Tender'!C50,'Pricing List for Tender'!C58,'Pricing List for Tender'!C62,'Pricing List for Tender'!C66,'Pricing List for Tender'!C70,'Pricing List for Tender'!C74,'Pricing List for Tender'!C78,'Pricing List for Tender'!C87)</f>
        <v>138</v>
      </c>
      <c r="D14" s="7" t="str">
        <f>'Takeoff Sheet'!O56</f>
        <v>m³</v>
      </c>
    </row>
    <row r="15" spans="1:6" s="12" customFormat="1">
      <c r="A15" s="172">
        <v>7</v>
      </c>
      <c r="B15" s="10" t="str">
        <f>'Takeoff Sheet'!B77</f>
        <v>Gauge 75 Fortecon Sheet or equivalent 20m/ROLL</v>
      </c>
      <c r="C15" s="175">
        <f>'Pricing List for Tender'!C81</f>
        <v>6</v>
      </c>
      <c r="D15" s="7" t="str">
        <f>'Takeoff Sheet'!O77</f>
        <v>Rolls</v>
      </c>
      <c r="E15" s="6"/>
      <c r="F15" s="6"/>
    </row>
    <row r="16" spans="1:6" s="12" customFormat="1">
      <c r="A16" s="172">
        <v>8</v>
      </c>
      <c r="B16" s="10" t="str">
        <f>'Takeoff Sheet'!B78</f>
        <v>Polyethene</v>
      </c>
      <c r="C16" s="175">
        <f>'Takeoff Sheet'!N78</f>
        <v>6</v>
      </c>
      <c r="D16" s="7" t="str">
        <f>'Takeoff Sheet'!O78</f>
        <v>Rolls</v>
      </c>
      <c r="E16" s="6"/>
      <c r="F16" s="6"/>
    </row>
    <row r="17" spans="1:6">
      <c r="A17" s="172">
        <v>9</v>
      </c>
      <c r="B17" s="10" t="str">
        <f>'Takeoff Sheet'!B86</f>
        <v>Ø12mm Deformed rebars</v>
      </c>
      <c r="C17" s="175">
        <f>SUM('Pricing List for Tender'!C97,'Pricing List for Tender'!C100,'Pricing List for Tender'!C103)</f>
        <v>236</v>
      </c>
      <c r="D17" s="7" t="str">
        <f>'Takeoff Sheet'!O86</f>
        <v>Length(s)</v>
      </c>
    </row>
    <row r="18" spans="1:6">
      <c r="A18" s="172">
        <v>10</v>
      </c>
      <c r="B18" s="10" t="str">
        <f>'Takeoff Sheet'!B95</f>
        <v>Ø6mm Round stirrup rebars</v>
      </c>
      <c r="C18" s="175">
        <f>SUM('Pricing List for Tender'!C106,'Pricing List for Tender'!C109)</f>
        <v>70</v>
      </c>
      <c r="D18" s="7" t="str">
        <f>'Takeoff Sheet'!O95</f>
        <v>Length(s)</v>
      </c>
    </row>
    <row r="19" spans="1:6">
      <c r="A19" s="172">
        <v>11</v>
      </c>
      <c r="B19" s="10" t="str">
        <f>'Takeoff Sheet'!B101</f>
        <v>Galv. Tie wire</v>
      </c>
      <c r="C19" s="175">
        <f>'Takeoff Sheet'!N101</f>
        <v>10</v>
      </c>
      <c r="D19" s="7" t="str">
        <f>'Takeoff Sheet'!O101</f>
        <v>Kg</v>
      </c>
    </row>
    <row r="20" spans="1:6">
      <c r="A20" s="172">
        <v>12</v>
      </c>
      <c r="B20" s="10" t="str">
        <f>'Takeoff Sheet'!B103</f>
        <v>WIRE MESH SL102 ‐ 4.65mtr x 1.97mtr/sht</v>
      </c>
      <c r="C20" s="175">
        <f>'Pricing List for Tender'!C115</f>
        <v>40</v>
      </c>
      <c r="D20" s="7" t="str">
        <f>'Pricing List for Tender'!F115</f>
        <v>Sheets</v>
      </c>
    </row>
    <row r="21" spans="1:6">
      <c r="A21" s="178">
        <v>13</v>
      </c>
      <c r="B21" s="179" t="str">
        <f>'Takeoff Sheet'!B110</f>
        <v>8' Concrete blocks</v>
      </c>
      <c r="C21" s="180">
        <f>'Pricing List for Tender'!C120</f>
        <v>161</v>
      </c>
      <c r="D21" s="181" t="s">
        <v>4</v>
      </c>
      <c r="E21" s="182"/>
      <c r="F21" s="182"/>
    </row>
    <row r="22" spans="1:6" hidden="1">
      <c r="A22" s="172">
        <f>'Takeoff Sheet'!A120</f>
        <v>8.01</v>
      </c>
      <c r="B22" s="63" t="str">
        <f>'Takeoff Sheet'!B120</f>
        <v>RS 300x50 H3 Treated Pine timber</v>
      </c>
      <c r="C22" s="176">
        <f>'Takeoff Sheet'!N120</f>
        <v>0</v>
      </c>
      <c r="D22" s="63" t="s">
        <v>2</v>
      </c>
      <c r="E22" s="63"/>
      <c r="F22" s="54"/>
    </row>
    <row r="23" spans="1:6" hidden="1">
      <c r="A23" s="171"/>
      <c r="B23" s="6" t="s">
        <v>264</v>
      </c>
      <c r="C23" s="175">
        <f>ROUND('Takeoff Sheet'!N121,0)</f>
        <v>0</v>
      </c>
      <c r="D23" s="7" t="s">
        <v>265</v>
      </c>
    </row>
    <row r="24" spans="1:6" hidden="1">
      <c r="A24" s="171"/>
      <c r="B24" s="54"/>
      <c r="C24" s="175"/>
      <c r="D24" s="7"/>
    </row>
    <row r="25" spans="1:6" hidden="1">
      <c r="A25" s="172">
        <f>'Takeoff Sheet'!A123</f>
        <v>8.02</v>
      </c>
      <c r="B25" s="9" t="str">
        <f>'Takeoff Sheet'!B123</f>
        <v>DAS 295x45 H3 Treated Dakua timber</v>
      </c>
      <c r="C25" s="175">
        <f>ROUND('Takeoff Sheet'!N123,0)</f>
        <v>0</v>
      </c>
      <c r="D25" s="7" t="str">
        <f>'Takeoff Sheet'!O123</f>
        <v>m</v>
      </c>
    </row>
    <row r="26" spans="1:6" hidden="1">
      <c r="A26" s="172"/>
      <c r="B26" s="6" t="str">
        <f>'Takeoff Sheet'!B124</f>
        <v>Stringers</v>
      </c>
      <c r="C26" s="175">
        <f>ROUND('Takeoff Sheet'!N124,0)</f>
        <v>0</v>
      </c>
      <c r="D26" s="7" t="str">
        <f>'Takeoff Sheet'!O124</f>
        <v>m</v>
      </c>
    </row>
    <row r="27" spans="1:6" hidden="1">
      <c r="A27" s="172"/>
      <c r="C27" s="175"/>
      <c r="D27" s="7"/>
    </row>
    <row r="28" spans="1:6" hidden="1">
      <c r="A28" s="172">
        <f>'Takeoff Sheet'!A126</f>
        <v>8.0299999999999994</v>
      </c>
      <c r="B28" s="9" t="str">
        <f>'Takeoff Sheet'!B126</f>
        <v>DAS 265x45 H3 Treated Dakua timber</v>
      </c>
      <c r="C28" s="175">
        <f>'Takeoff Sheet'!N126</f>
        <v>0</v>
      </c>
      <c r="D28" s="7" t="s">
        <v>2</v>
      </c>
    </row>
    <row r="29" spans="1:6" hidden="1">
      <c r="A29" s="172"/>
      <c r="B29" s="6" t="str">
        <f>'Takeoff Sheet'!B127</f>
        <v>Stair</v>
      </c>
      <c r="C29" s="175">
        <f>ROUND('Takeoff Sheet'!N127,0)</f>
        <v>0</v>
      </c>
      <c r="D29" s="7" t="s">
        <v>265</v>
      </c>
    </row>
    <row r="30" spans="1:6" hidden="1">
      <c r="A30" s="172"/>
      <c r="C30" s="175"/>
      <c r="D30" s="7"/>
    </row>
    <row r="31" spans="1:6" hidden="1">
      <c r="A31" s="172">
        <f>'Takeoff Sheet'!A129</f>
        <v>8.0399999999999991</v>
      </c>
      <c r="B31" s="68" t="str">
        <f>'Takeoff Sheet'!B129</f>
        <v>RS 200x25 H3 Treated Pine timber</v>
      </c>
      <c r="C31" s="175">
        <f>'Takeoff Sheet'!N129</f>
        <v>0</v>
      </c>
      <c r="D31" s="7" t="s">
        <v>2</v>
      </c>
    </row>
    <row r="32" spans="1:6" hidden="1">
      <c r="A32" s="172"/>
      <c r="C32" s="175">
        <f>C31/5.8</f>
        <v>0</v>
      </c>
      <c r="D32" s="7" t="s">
        <v>265</v>
      </c>
    </row>
    <row r="33" spans="1:4" hidden="1">
      <c r="A33" s="172"/>
      <c r="C33" s="175"/>
      <c r="D33" s="7"/>
    </row>
    <row r="34" spans="1:4">
      <c r="A34" s="172">
        <v>14</v>
      </c>
      <c r="B34" s="9" t="str">
        <f>'Takeoff Sheet'!B133</f>
        <v>DAS 95X45 H3 Treated Pine timber</v>
      </c>
      <c r="C34" s="175">
        <f>SUM('Pricing List for Tender'!C138,'Pricing List for Tender'!C150)</f>
        <v>70.354500000000002</v>
      </c>
      <c r="D34" s="7" t="str">
        <f>'Pricing List for Tender'!F150</f>
        <v>Length</v>
      </c>
    </row>
    <row r="35" spans="1:4" hidden="1">
      <c r="A35" s="172">
        <f>'Takeoff Sheet'!A136</f>
        <v>8.06</v>
      </c>
      <c r="B35" s="9" t="str">
        <f>'Takeoff Sheet'!B136</f>
        <v>RS 125x45 H3 Treated Pine timber</v>
      </c>
      <c r="C35" s="175">
        <f>'Takeoff Sheet'!N136</f>
        <v>0</v>
      </c>
      <c r="D35" s="7" t="s">
        <v>2</v>
      </c>
    </row>
    <row r="36" spans="1:4" hidden="1">
      <c r="A36" s="172"/>
      <c r="B36" s="9" t="str">
        <f>'Takeoff Sheet'!B137</f>
        <v>Blocking timber</v>
      </c>
      <c r="C36" s="175">
        <f>ROUND('Takeoff Sheet'!N137,0)</f>
        <v>0</v>
      </c>
      <c r="D36" s="7" t="s">
        <v>265</v>
      </c>
    </row>
    <row r="37" spans="1:4" hidden="1">
      <c r="A37" s="172"/>
      <c r="B37" s="9"/>
      <c r="C37" s="175"/>
      <c r="D37" s="7"/>
    </row>
    <row r="38" spans="1:4" hidden="1">
      <c r="A38" s="172">
        <f>'Takeoff Sheet'!A139</f>
        <v>8.07</v>
      </c>
      <c r="B38" s="14" t="str">
        <f>'Takeoff Sheet'!B139</f>
        <v>DAS 100x100 H3 Treated Pine timber</v>
      </c>
      <c r="C38" s="175">
        <f>'Takeoff Sheet'!N139</f>
        <v>0</v>
      </c>
      <c r="D38" s="7" t="s">
        <v>2</v>
      </c>
    </row>
    <row r="39" spans="1:4" hidden="1">
      <c r="A39" s="172"/>
      <c r="B39" s="9" t="str">
        <f>'Takeoff Sheet'!B140</f>
        <v xml:space="preserve"> Post</v>
      </c>
      <c r="C39" s="175">
        <f>ROUND('Takeoff Sheet'!N140,0)</f>
        <v>0</v>
      </c>
      <c r="D39" s="7" t="s">
        <v>265</v>
      </c>
    </row>
    <row r="40" spans="1:4" hidden="1">
      <c r="A40" s="172"/>
      <c r="C40" s="175"/>
      <c r="D40" s="7"/>
    </row>
    <row r="41" spans="1:4">
      <c r="A41" s="172">
        <v>15</v>
      </c>
      <c r="B41" s="9" t="str">
        <f>'Takeoff Sheet'!B142</f>
        <v>RS 100x50 H3 Treated Pine timber</v>
      </c>
      <c r="C41" s="175">
        <f>'Pricing List for Tender'!C147</f>
        <v>6</v>
      </c>
      <c r="D41" s="7" t="str">
        <f>'Pricing List for Tender'!F147</f>
        <v>Length</v>
      </c>
    </row>
    <row r="42" spans="1:4">
      <c r="A42" s="172">
        <v>16</v>
      </c>
      <c r="B42" s="9" t="str">
        <f>'Takeoff Sheet'!B168</f>
        <v>Hardboard/Masonite</v>
      </c>
      <c r="C42" s="175">
        <f>'Pricing List for Tender'!C168</f>
        <v>24</v>
      </c>
      <c r="D42" s="7" t="str">
        <f>'Pricing List for Tender'!F168</f>
        <v>Sheet</v>
      </c>
    </row>
    <row r="43" spans="1:4">
      <c r="A43" s="172">
        <v>17</v>
      </c>
      <c r="B43" s="6" t="str">
        <f>'Takeoff Sheet'!B172</f>
        <v>8 mm Marine  Ply</v>
      </c>
      <c r="C43" s="175">
        <f>'Pricing List for Tender'!C171</f>
        <v>2</v>
      </c>
      <c r="D43" s="7" t="s">
        <v>51</v>
      </c>
    </row>
    <row r="44" spans="1:4">
      <c r="A44" s="172">
        <v>18</v>
      </c>
      <c r="B44" s="6" t="str">
        <f>'Takeoff Sheet'!B176</f>
        <v>300x300 Vinyl tile</v>
      </c>
      <c r="C44" s="175">
        <f>'Pricing List for Tender'!C175</f>
        <v>25</v>
      </c>
      <c r="D44" s="7" t="s">
        <v>268</v>
      </c>
    </row>
    <row r="45" spans="1:4">
      <c r="A45" s="172">
        <v>19</v>
      </c>
      <c r="B45" s="6" t="str">
        <f>'Takeoff Sheet'!B179</f>
        <v>Tile O Fix</v>
      </c>
      <c r="C45" s="175">
        <v>4</v>
      </c>
      <c r="D45" s="7" t="s">
        <v>298</v>
      </c>
    </row>
    <row r="46" spans="1:4">
      <c r="A46" s="172">
        <v>20</v>
      </c>
      <c r="B46" s="9" t="str">
        <f>'Takeoff Sheet'!B182</f>
        <v>Polyurethane Clear 4L</v>
      </c>
      <c r="C46" s="175">
        <v>4</v>
      </c>
      <c r="D46" s="7" t="s">
        <v>298</v>
      </c>
    </row>
    <row r="47" spans="1:4">
      <c r="A47" s="172">
        <v>21</v>
      </c>
      <c r="B47" s="9" t="str">
        <f>'Takeoff Sheet'!B185</f>
        <v>Turbinetine  20L</v>
      </c>
      <c r="C47" s="175">
        <v>2</v>
      </c>
      <c r="D47" s="7" t="s">
        <v>268</v>
      </c>
    </row>
    <row r="48" spans="1:4">
      <c r="A48" s="172">
        <v>22</v>
      </c>
      <c r="B48" s="9" t="str">
        <f>'Takeoff Sheet'!B188</f>
        <v>100mm Hand brush</v>
      </c>
      <c r="C48" s="175">
        <f>'Takeoff Sheet'!N189</f>
        <v>10</v>
      </c>
      <c r="D48" s="7" t="s">
        <v>4</v>
      </c>
    </row>
    <row r="49" spans="1:4">
      <c r="A49" s="172">
        <v>23</v>
      </c>
      <c r="B49" s="9" t="str">
        <f>'Takeoff Sheet'!B191</f>
        <v>300x300 Quarry tile</v>
      </c>
      <c r="C49" s="175">
        <f>ROUND('Takeoff Sheet'!N192,0)</f>
        <v>3</v>
      </c>
      <c r="D49" s="7" t="s">
        <v>268</v>
      </c>
    </row>
    <row r="50" spans="1:4">
      <c r="A50" s="172">
        <v>24</v>
      </c>
      <c r="B50" s="63" t="str">
        <f>'Takeoff Sheet'!B194</f>
        <v>150x150 Wall tile</v>
      </c>
      <c r="C50" s="175">
        <f>ROUND('Takeoff Sheet'!N195,0)</f>
        <v>21</v>
      </c>
      <c r="D50" s="7" t="s">
        <v>268</v>
      </c>
    </row>
    <row r="51" spans="1:4">
      <c r="A51" s="172">
        <v>25</v>
      </c>
      <c r="B51" s="63" t="str">
        <f>'Takeoff Sheet'!B197</f>
        <v>20kg CTA</v>
      </c>
      <c r="C51" s="175">
        <v>12</v>
      </c>
      <c r="D51" s="7" t="s">
        <v>5</v>
      </c>
    </row>
    <row r="52" spans="1:4">
      <c r="A52" s="172">
        <v>26</v>
      </c>
      <c r="B52" s="63" t="str">
        <f>'Takeoff Sheet'!B200</f>
        <v>20kg Grout (White)</v>
      </c>
      <c r="C52" s="175">
        <f>'Takeoff Sheet'!N201</f>
        <v>5</v>
      </c>
      <c r="D52" s="7" t="s">
        <v>5</v>
      </c>
    </row>
    <row r="53" spans="1:4">
      <c r="A53" s="172">
        <v>27</v>
      </c>
      <c r="B53" s="173" t="str">
        <f>'Takeoff Sheet'!B204</f>
        <v>100mm Stainless steel Hinges</v>
      </c>
      <c r="C53" s="175">
        <v>7</v>
      </c>
      <c r="D53" s="7" t="str">
        <f>'Takeoff Sheet'!O204</f>
        <v>Nos</v>
      </c>
    </row>
    <row r="54" spans="1:4">
      <c r="A54" s="172">
        <v>28</v>
      </c>
      <c r="B54" s="173" t="str">
        <f>'Takeoff Sheet'!B206</f>
        <v>Bright brass Lever lock with BiLock</v>
      </c>
      <c r="C54" s="175">
        <f>'Pricing List for Tender'!C199</f>
        <v>2</v>
      </c>
      <c r="D54" s="7" t="str">
        <f>'Takeoff Sheet'!O206</f>
        <v>Nos</v>
      </c>
    </row>
    <row r="55" spans="1:4">
      <c r="A55" s="172">
        <v>29</v>
      </c>
      <c r="B55" s="173" t="str">
        <f>'Takeoff Sheet'!B208</f>
        <v>100mm Barrel bolt</v>
      </c>
      <c r="C55" s="175">
        <f>'Pricing List for Tender'!C201</f>
        <v>8</v>
      </c>
      <c r="D55" s="7" t="str">
        <f>'Takeoff Sheet'!O208</f>
        <v>Nos</v>
      </c>
    </row>
    <row r="56" spans="1:4">
      <c r="A56" s="172">
        <v>30</v>
      </c>
      <c r="B56" s="173" t="str">
        <f>'Takeoff Sheet'!B212</f>
        <v>36" Clear Glass</v>
      </c>
      <c r="C56" s="175">
        <v>250</v>
      </c>
      <c r="D56" s="7" t="str">
        <f>'Takeoff Sheet'!O212</f>
        <v>Nos</v>
      </c>
    </row>
    <row r="57" spans="1:4">
      <c r="A57" s="172">
        <v>31</v>
      </c>
      <c r="B57" s="173" t="s">
        <v>292</v>
      </c>
      <c r="C57" s="175">
        <v>14</v>
      </c>
      <c r="D57" s="7" t="s">
        <v>4</v>
      </c>
    </row>
    <row r="58" spans="1:4">
      <c r="A58" s="172">
        <v>32</v>
      </c>
      <c r="B58" s="173" t="str">
        <f>'Takeoff Sheet'!B214</f>
        <v>8 blades louvre frame</v>
      </c>
      <c r="C58" s="175">
        <v>9</v>
      </c>
      <c r="D58" s="7" t="str">
        <f>'Takeoff Sheet'!O214</f>
        <v>Nos</v>
      </c>
    </row>
    <row r="59" spans="1:4">
      <c r="A59" s="172">
        <v>33</v>
      </c>
      <c r="B59" s="173" t="str">
        <f>'Takeoff Sheet'!B216</f>
        <v>6 blades louvre frame</v>
      </c>
      <c r="C59" s="175">
        <v>2</v>
      </c>
      <c r="D59" s="7" t="str">
        <f>'Takeoff Sheet'!O216</f>
        <v>Nos</v>
      </c>
    </row>
    <row r="60" spans="1:4">
      <c r="A60" s="172">
        <v>34</v>
      </c>
      <c r="B60" s="173" t="str">
        <f>'Takeoff Sheet'!B218</f>
        <v>4 blades louvre frame</v>
      </c>
      <c r="C60" s="175">
        <v>5</v>
      </c>
      <c r="D60" s="7" t="str">
        <f>'Takeoff Sheet'!O218</f>
        <v>Nos</v>
      </c>
    </row>
    <row r="61" spans="1:4">
      <c r="A61" s="172">
        <v>35</v>
      </c>
      <c r="B61" s="6" t="s">
        <v>276</v>
      </c>
      <c r="C61" s="175">
        <f>'Takeoff Sheet'!N220</f>
        <v>8</v>
      </c>
      <c r="D61" s="7" t="str">
        <f>'Takeoff Sheet'!O220</f>
        <v>Sheet</v>
      </c>
    </row>
    <row r="62" spans="1:4">
      <c r="A62" s="172">
        <v>36</v>
      </c>
      <c r="B62" s="6" t="str">
        <f>'Takeoff Sheet'!B225</f>
        <v>Primer</v>
      </c>
      <c r="C62" s="175">
        <v>4</v>
      </c>
      <c r="D62" s="7" t="str">
        <f>'Takeoff Sheet'!O225</f>
        <v>Tin</v>
      </c>
    </row>
    <row r="63" spans="1:4">
      <c r="A63" s="172">
        <v>37</v>
      </c>
      <c r="B63" s="6" t="str">
        <f>'Takeoff Sheet'!B226</f>
        <v>Undercoat</v>
      </c>
      <c r="C63" s="175">
        <f>'Takeoff Sheet'!N226</f>
        <v>24.596484374999999</v>
      </c>
      <c r="D63" s="7" t="str">
        <f>'Takeoff Sheet'!O226</f>
        <v>Unit</v>
      </c>
    </row>
    <row r="64" spans="1:4">
      <c r="A64" s="172">
        <v>38</v>
      </c>
      <c r="B64" s="6" t="str">
        <f>'Takeoff Sheet'!B227</f>
        <v>Semi-gloss</v>
      </c>
      <c r="C64" s="175">
        <f>'Takeoff Sheet'!N227</f>
        <v>24.596484374999999</v>
      </c>
      <c r="D64" s="7" t="str">
        <f>'Takeoff Sheet'!O227</f>
        <v>Unit</v>
      </c>
    </row>
    <row r="65" spans="1:4">
      <c r="A65" s="172">
        <v>39</v>
      </c>
      <c r="B65" s="6" t="str">
        <f>'Takeoff Sheet'!B228</f>
        <v>High-gloss</v>
      </c>
      <c r="C65" s="175">
        <f>'Takeoff Sheet'!N228</f>
        <v>16.397656250000001</v>
      </c>
      <c r="D65" s="7" t="str">
        <f>'Takeoff Sheet'!O228</f>
        <v>Unit</v>
      </c>
    </row>
    <row r="66" spans="1:4">
      <c r="A66" s="172">
        <v>40</v>
      </c>
      <c r="B66" s="6" t="str">
        <f>'Takeoff Sheet'!B229</f>
        <v>100mm Hand brush</v>
      </c>
      <c r="C66" s="175">
        <f>ROUND('Takeoff Sheet'!N229,0)</f>
        <v>8</v>
      </c>
      <c r="D66" s="7" t="str">
        <f>'Takeoff Sheet'!O229</f>
        <v>Nos</v>
      </c>
    </row>
    <row r="67" spans="1:4">
      <c r="A67" s="172">
        <v>41</v>
      </c>
      <c r="B67" s="6" t="str">
        <f>'Takeoff Sheet'!B230</f>
        <v>Corner brush</v>
      </c>
      <c r="C67" s="175">
        <f>ROUND('Takeoff Sheet'!N230,0)</f>
        <v>8</v>
      </c>
      <c r="D67" s="7" t="str">
        <f>'Takeoff Sheet'!O230</f>
        <v>Nos</v>
      </c>
    </row>
    <row r="68" spans="1:4">
      <c r="A68" s="172">
        <v>42</v>
      </c>
      <c r="B68" s="6" t="str">
        <f>'Takeoff Sheet'!B231</f>
        <v>ROLLER KIT 4 PCS SET OLDFIELD KUPU‐KUPU 230mm [9"]</v>
      </c>
      <c r="C68" s="175">
        <f>ROUND('Takeoff Sheet'!N231,0)</f>
        <v>8</v>
      </c>
      <c r="D68" s="7" t="str">
        <f>'Takeoff Sheet'!O231</f>
        <v>Nos</v>
      </c>
    </row>
    <row r="69" spans="1:4">
      <c r="A69" s="172">
        <v>43</v>
      </c>
      <c r="B69" s="6" t="str">
        <f>'Takeoff Sheet'!B232</f>
        <v>ROLLER SLEEVE ‐ NOOK &amp; FABRIC 100mm [4"] CHINA mouse</v>
      </c>
      <c r="C69" s="175">
        <f>ROUND('Takeoff Sheet'!N232,0)</f>
        <v>8</v>
      </c>
      <c r="D69" s="7" t="str">
        <f>'Takeoff Sheet'!O232</f>
        <v>Nos</v>
      </c>
    </row>
    <row r="70" spans="1:4">
      <c r="A70" s="172">
        <v>44</v>
      </c>
      <c r="B70" s="6" t="str">
        <f>'Takeoff Sheet'!B235</f>
        <v>15' Colourbond Corrugate iron roofing sheet</v>
      </c>
      <c r="C70" s="175">
        <v>32</v>
      </c>
      <c r="D70" s="7" t="str">
        <f>'Takeoff Sheet'!O236</f>
        <v>Sheet</v>
      </c>
    </row>
    <row r="71" spans="1:4">
      <c r="A71" s="172">
        <v>45</v>
      </c>
      <c r="B71" s="6" t="str">
        <f>'Takeoff Sheet'!B238</f>
        <v>Galv. WIRE NETTING HEX [CHICKEN] 2 x 2" x 6FT [72"] x 2 x 30</v>
      </c>
      <c r="C71" s="175">
        <f>'Pricing List for Tender'!C235</f>
        <v>4</v>
      </c>
      <c r="D71" s="7" t="str">
        <f>'Pricing List for Tender'!F235</f>
        <v>Rolls</v>
      </c>
    </row>
    <row r="72" spans="1:4">
      <c r="A72" s="172">
        <v>46</v>
      </c>
      <c r="B72" s="6" t="str">
        <f>'Takeoff Sheet'!B241</f>
        <v>SISAL F‐STOP 1250mm x 40M (50m²) DOUBLE SIDE  ROLL</v>
      </c>
      <c r="C72" s="175">
        <f>'Pricing List for Tender'!C238</f>
        <v>4</v>
      </c>
      <c r="D72" s="7" t="str">
        <f>'Pricing List for Tender'!F238</f>
        <v>Rolls</v>
      </c>
    </row>
    <row r="73" spans="1:4">
      <c r="A73" s="172">
        <v>47</v>
      </c>
      <c r="B73" s="6" t="str">
        <f>'Takeoff Sheet'!B244</f>
        <v>Colourbond Ridge cap 2.4mtr</v>
      </c>
      <c r="C73" s="175">
        <f>'Pricing List for Tender'!C241</f>
        <v>6</v>
      </c>
      <c r="D73" s="7" t="str">
        <f>'Pricing List for Tender'!F241</f>
        <v>Sheet</v>
      </c>
    </row>
    <row r="74" spans="1:4">
      <c r="A74" s="172">
        <v>48</v>
      </c>
      <c r="B74" s="6" t="str">
        <f>'Takeoff Sheet'!B247</f>
        <v>Colourbond Flashing 2.4mtr</v>
      </c>
      <c r="C74" s="175">
        <f>'Pricing List for Tender'!C244</f>
        <v>18</v>
      </c>
      <c r="D74" s="7" t="str">
        <f>'Pricing List for Tender'!F244</f>
        <v>Sheet</v>
      </c>
    </row>
    <row r="75" spans="1:4">
      <c r="A75" s="172">
        <v>49</v>
      </c>
      <c r="B75" s="6" t="str">
        <f>'Takeoff Sheet'!B250</f>
        <v>2.4m Colourbond gutter</v>
      </c>
      <c r="C75" s="175">
        <f>'Pricing List for Tender'!C247</f>
        <v>12</v>
      </c>
      <c r="D75" s="7" t="str">
        <f>'Pricing List for Tender'!F247</f>
        <v>Sheet</v>
      </c>
    </row>
    <row r="76" spans="1:4">
      <c r="A76" s="172">
        <v>50</v>
      </c>
      <c r="B76" s="6" t="str">
        <f>'Takeoff Sheet'!B253</f>
        <v xml:space="preserve">2.4m Colourbond strapping </v>
      </c>
      <c r="C76" s="175">
        <f>'Pricing List for Tender'!C250</f>
        <v>28</v>
      </c>
      <c r="D76" s="7" t="str">
        <f>'Pricing List for Tender'!F250</f>
        <v>Nos</v>
      </c>
    </row>
    <row r="77" spans="1:4">
      <c r="A77" s="172">
        <v>51</v>
      </c>
      <c r="B77" s="6" t="str">
        <f>'Takeoff Sheet'!B256</f>
        <v>100mm PVC pipe</v>
      </c>
      <c r="C77" s="175">
        <f>ROUND('Takeoff Sheet'!N256,0)</f>
        <v>10</v>
      </c>
      <c r="D77" s="7" t="str">
        <f>'Takeoff Sheet'!O256</f>
        <v>Length(s)</v>
      </c>
    </row>
    <row r="78" spans="1:4">
      <c r="A78" s="172">
        <v>52</v>
      </c>
      <c r="B78" s="6" t="str">
        <f>'Takeoff Sheet'!B257</f>
        <v>100mm PVC bend 45deg</v>
      </c>
      <c r="C78" s="175">
        <f>ROUND('Takeoff Sheet'!N257,0)</f>
        <v>5</v>
      </c>
      <c r="D78" s="7" t="str">
        <f>'Takeoff Sheet'!O257</f>
        <v>Nos</v>
      </c>
    </row>
    <row r="79" spans="1:4">
      <c r="A79" s="172">
        <v>53</v>
      </c>
      <c r="B79" s="6" t="str">
        <f>'Takeoff Sheet'!B258</f>
        <v>100mm PVC Inspection opening</v>
      </c>
      <c r="C79" s="175">
        <f>ROUND('Takeoff Sheet'!N258,0)</f>
        <v>3</v>
      </c>
      <c r="D79" s="7" t="str">
        <f>'Takeoff Sheet'!O258</f>
        <v>Nos</v>
      </c>
    </row>
    <row r="80" spans="1:4">
      <c r="A80" s="172">
        <v>54</v>
      </c>
      <c r="B80" s="6" t="str">
        <f>'Takeoff Sheet'!B259</f>
        <v>PVCF DWV CLIP STANDARD PIPE 100mm [141.100] WASTE FITTING</v>
      </c>
      <c r="C80" s="175">
        <v>10</v>
      </c>
      <c r="D80" s="7" t="str">
        <f>'Takeoff Sheet'!O259</f>
        <v>Nos</v>
      </c>
    </row>
    <row r="81" spans="1:4">
      <c r="A81" s="172">
        <v>55</v>
      </c>
      <c r="B81" s="63" t="str">
        <f>'Takeoff Sheet'!B260</f>
        <v>100mm PVC Elbow</v>
      </c>
      <c r="C81" s="176">
        <f>'Takeoff Sheet'!N257</f>
        <v>5</v>
      </c>
      <c r="D81" s="7" t="s">
        <v>4</v>
      </c>
    </row>
    <row r="82" spans="1:4">
      <c r="A82" s="172">
        <v>56</v>
      </c>
      <c r="B82" s="63" t="str">
        <f>'Takeoff Sheet'!B261</f>
        <v>100mm PVC Gully trap</v>
      </c>
      <c r="C82" s="176">
        <f>'Takeoff Sheet'!N258</f>
        <v>3</v>
      </c>
      <c r="D82" s="7" t="s">
        <v>4</v>
      </c>
    </row>
    <row r="83" spans="1:4">
      <c r="A83" s="172">
        <v>57</v>
      </c>
      <c r="B83" s="63" t="str">
        <f>'Takeoff Sheet'!B262</f>
        <v xml:space="preserve">100mm PVC Tee </v>
      </c>
      <c r="C83" s="176">
        <v>10</v>
      </c>
      <c r="D83" s="7" t="s">
        <v>4</v>
      </c>
    </row>
    <row r="84" spans="1:4">
      <c r="A84" s="172">
        <v>58</v>
      </c>
      <c r="B84" s="63" t="str">
        <f>'Takeoff Sheet'!B263</f>
        <v>100mm PVC Pan collar</v>
      </c>
      <c r="C84" s="176">
        <f>'Takeoff Sheet'!N260</f>
        <v>12</v>
      </c>
      <c r="D84" s="7" t="s">
        <v>4</v>
      </c>
    </row>
    <row r="85" spans="1:4">
      <c r="A85" s="172">
        <v>59</v>
      </c>
      <c r="B85" s="63" t="str">
        <f>'Takeoff Sheet'!B264</f>
        <v>100mm Y-junction</v>
      </c>
      <c r="C85" s="176">
        <v>2</v>
      </c>
      <c r="D85" s="7" t="s">
        <v>4</v>
      </c>
    </row>
    <row r="86" spans="1:4">
      <c r="A86" s="172">
        <v>60</v>
      </c>
      <c r="B86" s="63" t="str">
        <f>'Takeoff Sheet'!B265</f>
        <v>100mm Floor grate</v>
      </c>
      <c r="C86" s="176">
        <v>1</v>
      </c>
      <c r="D86" s="7" t="s">
        <v>4</v>
      </c>
    </row>
    <row r="87" spans="1:4">
      <c r="A87" s="172">
        <v>61</v>
      </c>
      <c r="B87" s="63" t="str">
        <f>'Takeoff Sheet'!B266</f>
        <v>100mm Vent cowl</v>
      </c>
      <c r="C87" s="176">
        <v>1</v>
      </c>
      <c r="D87" s="7" t="s">
        <v>4</v>
      </c>
    </row>
    <row r="88" spans="1:4">
      <c r="A88" s="172">
        <v>62</v>
      </c>
      <c r="B88" s="63" t="str">
        <f>'Takeoff Sheet'!B267</f>
        <v>50mm PVC Pipe</v>
      </c>
      <c r="C88" s="176">
        <v>5</v>
      </c>
      <c r="D88" s="7" t="s">
        <v>4</v>
      </c>
    </row>
    <row r="89" spans="1:4">
      <c r="A89" s="172">
        <v>63</v>
      </c>
      <c r="B89" s="63" t="str">
        <f>'Takeoff Sheet'!B268</f>
        <v>50mm PVC elbow</v>
      </c>
      <c r="C89" s="176">
        <f>'Takeoff Sheet'!N265</f>
        <v>10</v>
      </c>
      <c r="D89" s="7" t="s">
        <v>4</v>
      </c>
    </row>
    <row r="90" spans="1:4">
      <c r="A90" s="172">
        <v>64</v>
      </c>
      <c r="B90" s="63" t="str">
        <f>'Takeoff Sheet'!B269</f>
        <v>50mm PVCF DWV Clip standard Pipe 50mm</v>
      </c>
      <c r="C90" s="176">
        <v>10</v>
      </c>
      <c r="D90" s="7" t="s">
        <v>4</v>
      </c>
    </row>
    <row r="91" spans="1:4">
      <c r="A91" s="172">
        <v>65</v>
      </c>
      <c r="B91" s="63" t="str">
        <f>'Takeoff Sheet'!B270</f>
        <v>50mm PVC Tee</v>
      </c>
      <c r="C91" s="176">
        <f>'Takeoff Sheet'!N267</f>
        <v>12</v>
      </c>
      <c r="D91" s="7" t="s">
        <v>4</v>
      </c>
    </row>
    <row r="92" spans="1:4">
      <c r="A92" s="172">
        <v>66</v>
      </c>
      <c r="B92" s="63" t="str">
        <f>'Takeoff Sheet'!B271</f>
        <v xml:space="preserve">100-50mm PVC reducer </v>
      </c>
      <c r="C92" s="176">
        <v>6</v>
      </c>
      <c r="D92" s="7" t="s">
        <v>4</v>
      </c>
    </row>
    <row r="93" spans="1:4">
      <c r="A93" s="172">
        <v>67</v>
      </c>
      <c r="B93" s="63" t="str">
        <f>'Takeoff Sheet'!B272</f>
        <v xml:space="preserve">50mm S-trap </v>
      </c>
      <c r="C93" s="176">
        <f>'Takeoff Sheet'!N269</f>
        <v>20</v>
      </c>
      <c r="D93" s="7" t="s">
        <v>4</v>
      </c>
    </row>
    <row r="94" spans="1:4">
      <c r="A94" s="172">
        <v>68</v>
      </c>
      <c r="B94" s="63" t="str">
        <f>'Takeoff Sheet'!B273</f>
        <v>50mm Plug and Waste</v>
      </c>
      <c r="C94" s="176">
        <v>6</v>
      </c>
      <c r="D94" s="7" t="s">
        <v>4</v>
      </c>
    </row>
    <row r="95" spans="1:4">
      <c r="A95" s="172">
        <v>69</v>
      </c>
      <c r="B95" s="63" t="str">
        <f>'Takeoff Sheet'!B274</f>
        <v>50-40mm Reducer</v>
      </c>
      <c r="C95" s="176">
        <f>'Takeoff Sheet'!N271</f>
        <v>6</v>
      </c>
      <c r="D95" s="68" t="s">
        <v>4</v>
      </c>
    </row>
    <row r="96" spans="1:4">
      <c r="A96" s="172">
        <v>70</v>
      </c>
      <c r="B96" s="63" t="str">
        <f>'Takeoff Sheet'!B275</f>
        <v>40mm PVC pipe</v>
      </c>
      <c r="C96" s="176">
        <f>'Takeoff Sheet'!N272</f>
        <v>2</v>
      </c>
      <c r="D96" s="68" t="s">
        <v>265</v>
      </c>
    </row>
    <row r="97" spans="1:4">
      <c r="A97" s="172">
        <v>71</v>
      </c>
      <c r="B97" s="63" t="str">
        <f>'Takeoff Sheet'!B276</f>
        <v>15mm PVC Pipe</v>
      </c>
      <c r="C97" s="176">
        <f>'Takeoff Sheet'!N273</f>
        <v>8</v>
      </c>
      <c r="D97" s="7" t="s">
        <v>4</v>
      </c>
    </row>
    <row r="98" spans="1:4">
      <c r="A98" s="172">
        <v>72</v>
      </c>
      <c r="B98" s="63" t="str">
        <f>'Takeoff Sheet'!B277</f>
        <v>15mm PVC elbow</v>
      </c>
      <c r="C98" s="176">
        <v>20</v>
      </c>
      <c r="D98" s="7" t="s">
        <v>4</v>
      </c>
    </row>
    <row r="99" spans="1:4">
      <c r="A99" s="172">
        <v>73</v>
      </c>
      <c r="B99" s="63" t="str">
        <f>'Takeoff Sheet'!B278</f>
        <v>15mm PVC Male adaptor</v>
      </c>
      <c r="C99" s="176">
        <f>'Takeoff Sheet'!N275</f>
        <v>12</v>
      </c>
      <c r="D99" s="7" t="s">
        <v>4</v>
      </c>
    </row>
    <row r="100" spans="1:4">
      <c r="A100" s="172">
        <v>74</v>
      </c>
      <c r="B100" s="63" t="str">
        <f>'Takeoff Sheet'!B279</f>
        <v>15mm PVC Female adaptor</v>
      </c>
      <c r="C100" s="176">
        <f>'Takeoff Sheet'!N276</f>
        <v>12</v>
      </c>
      <c r="D100" s="7" t="s">
        <v>4</v>
      </c>
    </row>
    <row r="101" spans="1:4">
      <c r="A101" s="172">
        <v>75</v>
      </c>
      <c r="B101" s="63" t="str">
        <f>'Takeoff Sheet'!B280</f>
        <v>15mm PVCF DWV Clip Standard</v>
      </c>
      <c r="C101" s="176">
        <v>20</v>
      </c>
      <c r="D101" s="7" t="s">
        <v>4</v>
      </c>
    </row>
    <row r="102" spans="1:4">
      <c r="A102" s="172">
        <v>76</v>
      </c>
      <c r="B102" s="63" t="str">
        <f>'Takeoff Sheet'!B281</f>
        <v>15mm PVC union</v>
      </c>
      <c r="C102" s="176">
        <v>5</v>
      </c>
      <c r="D102" s="7" t="s">
        <v>4</v>
      </c>
    </row>
    <row r="103" spans="1:4">
      <c r="A103" s="172">
        <v>77</v>
      </c>
      <c r="B103" s="63" t="str">
        <f>'Takeoff Sheet'!B282</f>
        <v>15mm (HK512) 304 Stainless Steel Swivel Kitchen Basin/Sink Faucet water</v>
      </c>
      <c r="C103" s="176">
        <v>1</v>
      </c>
      <c r="D103" s="7" t="s">
        <v>4</v>
      </c>
    </row>
    <row r="104" spans="1:4">
      <c r="A104" s="172">
        <v>78</v>
      </c>
      <c r="B104" s="63" t="str">
        <f>'Takeoff Sheet'!B283</f>
        <v>15mm PVC Stop valve</v>
      </c>
      <c r="C104" s="176">
        <f>'Takeoff Sheet'!N280</f>
        <v>12</v>
      </c>
      <c r="D104" s="7" t="s">
        <v>4</v>
      </c>
    </row>
    <row r="105" spans="1:4">
      <c r="A105" s="172">
        <v>79</v>
      </c>
      <c r="B105" s="63" t="str">
        <f>'Takeoff Sheet'!B284</f>
        <v>15mm F9020101 Pillar cock pressmatic</v>
      </c>
      <c r="C105" s="176">
        <v>3</v>
      </c>
      <c r="D105" s="7" t="s">
        <v>4</v>
      </c>
    </row>
    <row r="106" spans="1:4">
      <c r="A106" s="172">
        <v>80</v>
      </c>
      <c r="B106" s="63" t="str">
        <f>'Takeoff Sheet'!B285</f>
        <v>15mm Brass bib tap</v>
      </c>
      <c r="C106" s="176">
        <f>'Takeoff Sheet'!N282</f>
        <v>1</v>
      </c>
      <c r="D106" s="7" t="s">
        <v>4</v>
      </c>
    </row>
    <row r="107" spans="1:4">
      <c r="A107" s="172">
        <v>81</v>
      </c>
      <c r="B107" s="63" t="str">
        <f>'Takeoff Sheet'!B286</f>
        <v>15mm PVC tee</v>
      </c>
      <c r="C107" s="176">
        <f>'Takeoff Sheet'!N283</f>
        <v>15</v>
      </c>
      <c r="D107" s="7" t="s">
        <v>4</v>
      </c>
    </row>
    <row r="108" spans="1:4">
      <c r="A108" s="172">
        <v>82</v>
      </c>
      <c r="B108" s="63" t="str">
        <f>'Takeoff Sheet'!B287</f>
        <v>P-trap WC complete + Cistern</v>
      </c>
      <c r="C108" s="176">
        <v>1</v>
      </c>
      <c r="D108" s="7" t="s">
        <v>4</v>
      </c>
    </row>
    <row r="109" spans="1:4">
      <c r="A109" s="172">
        <v>83</v>
      </c>
      <c r="B109" s="63" t="str">
        <f>'Takeoff Sheet'!B288</f>
        <v>15mm OSUKI Stainless Steel Shower Set (Head w. steel flexi hose, wall mounting, cock…)</v>
      </c>
      <c r="C109" s="176">
        <v>1</v>
      </c>
      <c r="D109" s="7" t="s">
        <v>4</v>
      </c>
    </row>
    <row r="110" spans="1:4">
      <c r="A110" s="172">
        <v>84</v>
      </c>
      <c r="B110" s="63" t="str">
        <f>'Takeoff Sheet'!B289</f>
        <v>Thread tape</v>
      </c>
      <c r="C110" s="176">
        <v>10</v>
      </c>
      <c r="D110" s="7" t="s">
        <v>4</v>
      </c>
    </row>
    <row r="111" spans="1:4">
      <c r="A111" s="172">
        <v>85</v>
      </c>
      <c r="B111" s="63" t="s">
        <v>274</v>
      </c>
      <c r="C111" s="176">
        <v>1</v>
      </c>
      <c r="D111" s="7" t="s">
        <v>4</v>
      </c>
    </row>
    <row r="112" spans="1:4">
      <c r="A112" s="172">
        <v>86</v>
      </c>
      <c r="B112" s="63" t="s">
        <v>317</v>
      </c>
      <c r="C112" s="176">
        <f>'Takeoff Sheet'!N291</f>
        <v>1</v>
      </c>
      <c r="D112" s="7" t="s">
        <v>4</v>
      </c>
    </row>
    <row r="113" spans="1:4">
      <c r="A113" s="172">
        <v>87</v>
      </c>
      <c r="B113" s="6" t="str">
        <f>'Takeoff Sheet'!B294</f>
        <v>SUB BOARD 8WAY TSM8</v>
      </c>
      <c r="C113" s="175">
        <f>ROUND('Takeoff Sheet'!N294,0)</f>
        <v>1</v>
      </c>
      <c r="D113" s="7" t="str">
        <f>'Takeoff Sheet'!O294</f>
        <v>Nos</v>
      </c>
    </row>
    <row r="114" spans="1:4">
      <c r="A114" s="172">
        <v>88</v>
      </c>
      <c r="B114" s="6" t="str">
        <f>'Takeoff Sheet'!B295</f>
        <v>HEM CIRCUIT BREAKER 20A 1POLE 4.5KA (GBL IMEX)</v>
      </c>
      <c r="C114" s="175">
        <v>1</v>
      </c>
      <c r="D114" s="7" t="str">
        <f>'Takeoff Sheet'!O295</f>
        <v>Nos</v>
      </c>
    </row>
    <row r="115" spans="1:4">
      <c r="A115" s="172">
        <v>89</v>
      </c>
      <c r="B115" s="6" t="str">
        <f>'Takeoff Sheet'!B296</f>
        <v>HEM CIRCUIT BREAKER 16A 1POLE 4.5KA (GBL IMEX)</v>
      </c>
      <c r="C115" s="175">
        <v>2</v>
      </c>
      <c r="D115" s="7" t="str">
        <f>'Takeoff Sheet'!O296</f>
        <v>Nos</v>
      </c>
    </row>
    <row r="116" spans="1:4">
      <c r="A116" s="172">
        <v>90</v>
      </c>
      <c r="B116" s="6" t="str">
        <f>'Takeoff Sheet'!B297</f>
        <v>HEM CIRCUIT BREAKER 10A 1POLE 4.5KA (GBL IMEX)</v>
      </c>
      <c r="C116" s="175">
        <v>1</v>
      </c>
      <c r="D116" s="7" t="str">
        <f>'Takeoff Sheet'!O297</f>
        <v>Nos</v>
      </c>
    </row>
    <row r="117" spans="1:4">
      <c r="A117" s="172">
        <v>91</v>
      </c>
      <c r="B117" s="6" t="str">
        <f>'Takeoff Sheet'!B298</f>
        <v>WIRE 6mm 2 CORE + EARTH ORANGE PVC CIRCULAR ELECTRICAL DC</v>
      </c>
      <c r="C117" s="175">
        <v>30</v>
      </c>
      <c r="D117" s="7" t="str">
        <f>'Takeoff Sheet'!O298</f>
        <v>m</v>
      </c>
    </row>
    <row r="118" spans="1:4">
      <c r="A118" s="172">
        <v>92</v>
      </c>
      <c r="B118" s="6" t="str">
        <f>'Takeoff Sheet'!B299</f>
        <v>WIRE 1.5mm Flat cable 100m/roll</v>
      </c>
      <c r="C118" s="175">
        <v>1</v>
      </c>
      <c r="D118" s="7" t="str">
        <f>'Takeoff Sheet'!O299</f>
        <v>Rolls</v>
      </c>
    </row>
    <row r="119" spans="1:4">
      <c r="A119" s="172">
        <v>93</v>
      </c>
      <c r="B119" s="6" t="str">
        <f>'Takeoff Sheet'!B300</f>
        <v>WIRE 2.5mm Flat cable 100m/roll</v>
      </c>
      <c r="C119" s="175">
        <v>1</v>
      </c>
      <c r="D119" s="7" t="str">
        <f>'Takeoff Sheet'!O300</f>
        <v>Rolls</v>
      </c>
    </row>
    <row r="120" spans="1:4">
      <c r="A120" s="172">
        <v>94</v>
      </c>
      <c r="B120" s="6" t="str">
        <f>'Takeoff Sheet'!B301</f>
        <v>Double switch + Mounting</v>
      </c>
      <c r="C120" s="175">
        <v>2</v>
      </c>
      <c r="D120" s="7" t="str">
        <f>'Takeoff Sheet'!O301</f>
        <v>Nos</v>
      </c>
    </row>
    <row r="121" spans="1:4">
      <c r="A121" s="172">
        <v>95</v>
      </c>
      <c r="B121" s="6" t="str">
        <f>'Takeoff Sheet'!B302</f>
        <v>Single switch +Mounting</v>
      </c>
      <c r="C121" s="175">
        <v>8</v>
      </c>
      <c r="D121" s="7" t="str">
        <f>'Takeoff Sheet'!O302</f>
        <v>Nos</v>
      </c>
    </row>
    <row r="122" spans="1:4">
      <c r="A122" s="172">
        <v>96</v>
      </c>
      <c r="B122" s="6" t="str">
        <f>'Takeoff Sheet'!B303</f>
        <v xml:space="preserve">TAPE ‐ PVC INSULATING BLACK 18mm x 15yd EACH </v>
      </c>
      <c r="C122" s="175">
        <f>ROUND('Takeoff Sheet'!N303,0)</f>
        <v>2</v>
      </c>
      <c r="D122" s="7" t="str">
        <f>'Takeoff Sheet'!O303</f>
        <v>Nos</v>
      </c>
    </row>
    <row r="123" spans="1:4">
      <c r="A123" s="172">
        <v>97</v>
      </c>
      <c r="B123" s="6" t="str">
        <f>'Takeoff Sheet'!B304</f>
        <v>TAPE ‐ PVC INSULATING GREEN 18mm x 10yrd EACH</v>
      </c>
      <c r="C123" s="175">
        <f>ROUND('Takeoff Sheet'!N304,0)</f>
        <v>2</v>
      </c>
      <c r="D123" s="7" t="str">
        <f>'Takeoff Sheet'!O304</f>
        <v>Nos</v>
      </c>
    </row>
    <row r="124" spans="1:4">
      <c r="A124" s="172">
        <v>98</v>
      </c>
      <c r="B124" s="6" t="str">
        <f>'Takeoff Sheet'!B305</f>
        <v xml:space="preserve">TAPE ‐ PVC INSULATING RED 18mm x 10yd               </v>
      </c>
      <c r="C124" s="175">
        <f>ROUND('Takeoff Sheet'!N305,0)</f>
        <v>2</v>
      </c>
      <c r="D124" s="7" t="str">
        <f>'Takeoff Sheet'!O305</f>
        <v>Nos</v>
      </c>
    </row>
    <row r="125" spans="1:4">
      <c r="A125" s="172">
        <v>99</v>
      </c>
      <c r="B125" s="6" t="str">
        <f>'Takeoff Sheet'!B306</f>
        <v>HEM JUNCTION BOX BIG JB1 &amp; JB2</v>
      </c>
      <c r="C125" s="175">
        <v>6</v>
      </c>
      <c r="D125" s="7" t="str">
        <f>'Takeoff Sheet'!O306</f>
        <v>Nos</v>
      </c>
    </row>
    <row r="126" spans="1:4">
      <c r="A126" s="172">
        <v>100</v>
      </c>
      <c r="B126" s="174" t="str">
        <f>'Takeoff Sheet'!B307</f>
        <v>15mm PVC Conduit pipe</v>
      </c>
      <c r="C126" s="175">
        <f>'Takeoff Sheet'!N307</f>
        <v>10</v>
      </c>
      <c r="D126" s="7" t="str">
        <f>'Takeoff Sheet'!O307</f>
        <v>Length(s)</v>
      </c>
    </row>
    <row r="127" spans="1:4">
      <c r="A127" s="172">
        <v>101</v>
      </c>
      <c r="B127" s="174" t="str">
        <f>'Takeoff Sheet'!B308</f>
        <v>20mm PVC Conduit pipe</v>
      </c>
      <c r="C127" s="175">
        <v>20</v>
      </c>
      <c r="D127" s="7" t="str">
        <f>'Takeoff Sheet'!O308</f>
        <v>Length(s)</v>
      </c>
    </row>
    <row r="128" spans="1:4">
      <c r="A128" s="172">
        <v>102</v>
      </c>
      <c r="B128" s="174" t="str">
        <f>'Takeoff Sheet'!B309</f>
        <v>15mm Galv. Pipe</v>
      </c>
      <c r="C128" s="175">
        <f>ROUND('Takeoff Sheet'!N309,0)</f>
        <v>1</v>
      </c>
      <c r="D128" s="7" t="str">
        <f>'Takeoff Sheet'!O309</f>
        <v>Length(s)</v>
      </c>
    </row>
    <row r="129" spans="1:4">
      <c r="A129" s="172">
        <v>103</v>
      </c>
      <c r="B129" s="174" t="str">
        <f>'Takeoff Sheet'!B310</f>
        <v>HOSE CLAMP 16‐27mm x 12mm NORMA [100PCS/PKT]</v>
      </c>
      <c r="C129" s="175">
        <v>1</v>
      </c>
      <c r="D129" s="7" t="str">
        <f>'Takeoff Sheet'!O310</f>
        <v>Nos</v>
      </c>
    </row>
    <row r="130" spans="1:4">
      <c r="A130" s="172">
        <v>104</v>
      </c>
      <c r="B130" s="174" t="str">
        <f>'Takeoff Sheet'!B311</f>
        <v>25mm PVC Conduit pipe</v>
      </c>
      <c r="C130" s="175">
        <f>ROUND('Takeoff Sheet'!N311,0)</f>
        <v>10</v>
      </c>
      <c r="D130" s="7" t="str">
        <f>'Takeoff Sheet'!O311</f>
        <v>Length(s)</v>
      </c>
    </row>
    <row r="131" spans="1:4">
      <c r="A131" s="172">
        <v>105</v>
      </c>
      <c r="B131" s="174" t="str">
        <f>'Takeoff Sheet'!B312</f>
        <v>Caravan RV Double Pole Dual 240V Power Point with Twin USB Charging with Mounting block</v>
      </c>
      <c r="C131" s="175">
        <f>ROUND('Takeoff Sheet'!N312,0)</f>
        <v>10</v>
      </c>
      <c r="D131" s="7" t="str">
        <f>'Takeoff Sheet'!O312</f>
        <v>Nos</v>
      </c>
    </row>
    <row r="132" spans="1:4">
      <c r="A132" s="172">
        <v>106</v>
      </c>
      <c r="B132" s="174" t="str">
        <f>'Takeoff Sheet'!B313</f>
        <v>Batten holder</v>
      </c>
      <c r="C132" s="175">
        <f>ROUND('Takeoff Sheet'!N313,0)</f>
        <v>10</v>
      </c>
      <c r="D132" s="7" t="str">
        <f>'Takeoff Sheet'!O313</f>
        <v>Nos</v>
      </c>
    </row>
    <row r="133" spans="1:4">
      <c r="A133" s="172">
        <v>107</v>
      </c>
      <c r="B133" s="63" t="str">
        <f>'Takeoff Sheet'!B314</f>
        <v>ELEMENTS ENERGY SAVER BULB SPIRAL 20W DAYLIGHT ‐ 6500K BC (</v>
      </c>
      <c r="C133" s="175">
        <f>ROUND('Takeoff Sheet'!N315,0)</f>
        <v>5</v>
      </c>
      <c r="D133" s="7" t="s">
        <v>2</v>
      </c>
    </row>
    <row r="134" spans="1:4">
      <c r="A134" s="172">
        <v>108</v>
      </c>
      <c r="B134" s="63" t="str">
        <f>'Takeoff Sheet'!B315</f>
        <v>Earth wire - Green</v>
      </c>
      <c r="C134" s="175">
        <v>5</v>
      </c>
      <c r="D134" s="7" t="s">
        <v>2</v>
      </c>
    </row>
    <row r="135" spans="1:4">
      <c r="A135" s="172">
        <v>109</v>
      </c>
      <c r="B135" s="6" t="str">
        <f>'Takeoff Sheet'!B318</f>
        <v>100mm Galv. Jolthead nail</v>
      </c>
      <c r="C135" s="175">
        <v>25</v>
      </c>
      <c r="D135" s="7" t="str">
        <f>'Takeoff Sheet'!O318</f>
        <v>Kg</v>
      </c>
    </row>
    <row r="136" spans="1:4">
      <c r="A136" s="172">
        <v>110</v>
      </c>
      <c r="B136" s="6" t="str">
        <f>'Takeoff Sheet'!B319</f>
        <v>75mm Galv. Jolthead nail</v>
      </c>
      <c r="C136" s="175">
        <v>25</v>
      </c>
      <c r="D136" s="7" t="str">
        <f>'Takeoff Sheet'!O319</f>
        <v>Kg</v>
      </c>
    </row>
    <row r="137" spans="1:4">
      <c r="A137" s="172">
        <v>111</v>
      </c>
      <c r="B137" s="6" t="str">
        <f>'Takeoff Sheet'!B320</f>
        <v>50mm Galv. Jolthead nail</v>
      </c>
      <c r="C137" s="175">
        <v>2</v>
      </c>
      <c r="D137" s="7" t="str">
        <f>'Takeoff Sheet'!O320</f>
        <v>Kg</v>
      </c>
    </row>
    <row r="138" spans="1:4">
      <c r="A138" s="172">
        <v>112</v>
      </c>
      <c r="B138" s="6" t="str">
        <f>'Takeoff Sheet'!B321</f>
        <v>40mm Galv. Jolthead nail</v>
      </c>
      <c r="C138" s="175">
        <v>2</v>
      </c>
      <c r="D138" s="7" t="str">
        <f>'Takeoff Sheet'!O321</f>
        <v>Kg</v>
      </c>
    </row>
    <row r="139" spans="1:4">
      <c r="A139" s="172">
        <v>113</v>
      </c>
      <c r="B139" s="6" t="str">
        <f>'Takeoff Sheet'!B322</f>
        <v>40mm Galv. Clout jolthead nail</v>
      </c>
      <c r="C139" s="175">
        <v>1</v>
      </c>
      <c r="D139" s="7" t="str">
        <f>'Takeoff Sheet'!O322</f>
        <v>Kg</v>
      </c>
    </row>
    <row r="140" spans="1:4">
      <c r="A140" s="172">
        <v>114</v>
      </c>
      <c r="B140" s="6" t="str">
        <f>'Takeoff Sheet'!B323</f>
        <v>NAIL JOLT HEAD GALVANIZED PANEL PIN 25mm [1"] x 1.60mm x 1.0k</v>
      </c>
      <c r="C140" s="175">
        <v>5</v>
      </c>
      <c r="D140" s="7" t="str">
        <f>'Takeoff Sheet'!O323</f>
        <v>Kg</v>
      </c>
    </row>
    <row r="141" spans="1:4">
      <c r="A141" s="172">
        <v>115</v>
      </c>
      <c r="B141" s="6" t="str">
        <f>'Takeoff Sheet'!B324</f>
        <v xml:space="preserve">ROOFING SCREW CORRUDEK TO TIMBER CYCLONE           </v>
      </c>
      <c r="C141" s="175">
        <v>5</v>
      </c>
      <c r="D141" s="7" t="str">
        <f>'Takeoff Sheet'!O324</f>
        <v>Kg</v>
      </c>
    </row>
    <row r="142" spans="1:4">
      <c r="A142" s="172">
        <v>116</v>
      </c>
      <c r="B142" s="6" t="str">
        <f>'Takeoff Sheet'!B325</f>
        <v>BOLT &amp; NUT MILD STEEL HEXAGON HEAD GALVANISED 12mm</v>
      </c>
      <c r="C142" s="175">
        <v>32</v>
      </c>
      <c r="D142" s="7" t="str">
        <f>'Takeoff Sheet'!O325</f>
        <v>Nos</v>
      </c>
    </row>
    <row r="143" spans="1:4">
      <c r="A143" s="172">
        <v>117</v>
      </c>
      <c r="B143" s="6" t="str">
        <f>'Takeoff Sheet'!B326</f>
        <v>Knuckle nailplates 76mmx317mm 10m/roll</v>
      </c>
      <c r="C143" s="175">
        <f>ROUND('Takeoff Sheet'!N326,0)</f>
        <v>1</v>
      </c>
      <c r="D143" s="7" t="str">
        <f>'Takeoff Sheet'!O326</f>
        <v>Rolls</v>
      </c>
    </row>
    <row r="144" spans="1:4">
      <c r="A144" s="172">
        <v>118</v>
      </c>
      <c r="B144" s="6" t="str">
        <f>'Takeoff Sheet'!B327</f>
        <v xml:space="preserve">Maxi strap </v>
      </c>
      <c r="C144" s="175">
        <v>2</v>
      </c>
      <c r="D144" s="7" t="str">
        <f>'Takeoff Sheet'!O327</f>
        <v>Rolls</v>
      </c>
    </row>
    <row r="145" spans="1:6">
      <c r="A145" s="172">
        <v>119</v>
      </c>
      <c r="B145" s="6" t="s">
        <v>188</v>
      </c>
      <c r="C145" s="175">
        <v>1</v>
      </c>
      <c r="D145" s="8" t="s">
        <v>189</v>
      </c>
    </row>
    <row r="146" spans="1:6">
      <c r="A146" s="172">
        <v>120</v>
      </c>
      <c r="B146" s="6" t="s">
        <v>190</v>
      </c>
      <c r="C146" s="175">
        <v>10</v>
      </c>
      <c r="D146" s="8" t="s">
        <v>4</v>
      </c>
    </row>
    <row r="147" spans="1:6">
      <c r="A147" s="172">
        <v>121</v>
      </c>
      <c r="B147" s="6" t="s">
        <v>191</v>
      </c>
      <c r="C147" s="175">
        <v>40</v>
      </c>
      <c r="D147" s="8" t="s">
        <v>4</v>
      </c>
    </row>
    <row r="148" spans="1:6">
      <c r="A148" s="172">
        <v>122</v>
      </c>
      <c r="B148" s="6" t="s">
        <v>192</v>
      </c>
      <c r="C148" s="175">
        <v>5</v>
      </c>
      <c r="D148" s="8" t="s">
        <v>189</v>
      </c>
    </row>
    <row r="149" spans="1:6">
      <c r="A149" s="172">
        <v>123</v>
      </c>
      <c r="B149" s="6" t="s">
        <v>194</v>
      </c>
      <c r="C149" s="175">
        <v>1</v>
      </c>
      <c r="D149" s="8" t="s">
        <v>273</v>
      </c>
    </row>
    <row r="150" spans="1:6">
      <c r="A150" s="172">
        <v>124</v>
      </c>
      <c r="B150" s="6" t="s">
        <v>193</v>
      </c>
      <c r="C150" s="175">
        <v>1</v>
      </c>
      <c r="D150" s="8" t="s">
        <v>273</v>
      </c>
    </row>
    <row r="151" spans="1:6">
      <c r="A151" s="172">
        <v>125</v>
      </c>
      <c r="B151" s="6" t="str">
        <f>'Takeoff Sheet'!B336</f>
        <v>4" Batten screws</v>
      </c>
      <c r="C151" s="175">
        <f>'Takeoff Sheet'!N336</f>
        <v>5</v>
      </c>
      <c r="D151" s="8" t="str">
        <f>'Takeoff Sheet'!O336</f>
        <v>kg</v>
      </c>
    </row>
    <row r="152" spans="1:6">
      <c r="A152" s="172">
        <v>126</v>
      </c>
      <c r="B152" s="9" t="str">
        <f>'Takeoff Sheet'!B339</f>
        <v>Well for fresh water</v>
      </c>
      <c r="C152" s="177">
        <v>1</v>
      </c>
      <c r="D152" s="8" t="str">
        <f>'Takeoff Sheet'!O339</f>
        <v>Nos</v>
      </c>
    </row>
    <row r="153" spans="1:6">
      <c r="A153" s="172">
        <v>127</v>
      </c>
      <c r="B153" s="9" t="str">
        <f>'Takeoff Sheet'!B340</f>
        <v>5000L Water tank</v>
      </c>
      <c r="C153" s="177">
        <v>1</v>
      </c>
      <c r="D153" s="8" t="s">
        <v>4</v>
      </c>
    </row>
    <row r="154" spans="1:6">
      <c r="B154" s="9"/>
      <c r="C154" s="9"/>
    </row>
    <row r="156" spans="1:6" hidden="1"/>
    <row r="157" spans="1:6" hidden="1">
      <c r="F157" s="56"/>
    </row>
    <row r="158" spans="1:6" hidden="1">
      <c r="F158" s="56"/>
    </row>
    <row r="159" spans="1:6" hidden="1"/>
    <row r="160" spans="1:6">
      <c r="F160" s="56"/>
    </row>
  </sheetData>
  <printOptions horizontalCentered="1"/>
  <pageMargins left="0.25" right="0.25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2"/>
  <sheetViews>
    <sheetView showZeros="0" workbookViewId="0">
      <pane ySplit="8" topLeftCell="A9" activePane="bottomLeft" state="frozen"/>
      <selection pane="bottomLeft" activeCell="I22" sqref="I22"/>
    </sheetView>
  </sheetViews>
  <sheetFormatPr defaultColWidth="8.85546875" defaultRowHeight="12.75"/>
  <cols>
    <col min="1" max="1" width="8.7109375" style="9" customWidth="1"/>
    <col min="2" max="2" width="41.42578125" style="6" customWidth="1"/>
    <col min="3" max="3" width="5.85546875" style="39" customWidth="1"/>
    <col min="4" max="4" width="8.140625" style="8" customWidth="1"/>
    <col min="5" max="5" width="10.42578125" style="6" customWidth="1"/>
    <col min="6" max="6" width="13.7109375" style="6" customWidth="1"/>
    <col min="7" max="16384" width="8.85546875" style="8"/>
  </cols>
  <sheetData>
    <row r="1" spans="1:6" s="4" customFormat="1" ht="15.75">
      <c r="A1" s="49" t="s">
        <v>76</v>
      </c>
      <c r="B1" s="32"/>
      <c r="C1" s="36"/>
      <c r="D1" s="33"/>
      <c r="E1" s="32"/>
      <c r="F1" s="50" t="s">
        <v>201</v>
      </c>
    </row>
    <row r="2" spans="1:6" s="4" customFormat="1" ht="16.5" thickBot="1">
      <c r="A2" s="51" t="s">
        <v>98</v>
      </c>
      <c r="B2" s="34"/>
      <c r="C2" s="37"/>
      <c r="D2" s="35"/>
      <c r="E2" s="34"/>
      <c r="F2" s="52"/>
    </row>
    <row r="3" spans="1:6" s="4" customFormat="1" ht="29.45" customHeight="1">
      <c r="B3" s="2"/>
      <c r="C3" s="38"/>
      <c r="D3" s="3"/>
      <c r="E3" s="2"/>
      <c r="F3" s="57" t="s">
        <v>100</v>
      </c>
    </row>
    <row r="4" spans="1:6">
      <c r="A4" s="43" t="s">
        <v>97</v>
      </c>
      <c r="B4" s="24" t="str">
        <f>'Takeoff Sheet'!C4</f>
        <v>C-Grade MFE</v>
      </c>
      <c r="C4" s="46" t="s">
        <v>81</v>
      </c>
      <c r="D4" s="25"/>
      <c r="E4" s="26"/>
      <c r="F4" s="27">
        <f>'Takeoff Sheet'!I4</f>
        <v>180203</v>
      </c>
    </row>
    <row r="5" spans="1:6">
      <c r="A5" s="44" t="s">
        <v>77</v>
      </c>
      <c r="B5" s="22" t="str">
        <f>'Takeoff Sheet'!C5</f>
        <v>L.Iuta</v>
      </c>
      <c r="C5" s="47" t="s">
        <v>79</v>
      </c>
      <c r="D5" s="7"/>
      <c r="F5" s="28">
        <f>'Takeoff Sheet'!I5</f>
        <v>43420</v>
      </c>
    </row>
    <row r="6" spans="1:6">
      <c r="A6" s="45" t="s">
        <v>78</v>
      </c>
      <c r="B6" s="29" t="str">
        <f>'Takeoff Sheet'!C6</f>
        <v>K.Tokaia</v>
      </c>
      <c r="C6" s="48" t="s">
        <v>80</v>
      </c>
      <c r="D6" s="30"/>
      <c r="E6" s="31"/>
      <c r="F6" s="53" t="str">
        <f>'Takeoff Sheet'!I6</f>
        <v>Preliminary</v>
      </c>
    </row>
    <row r="7" spans="1:6">
      <c r="D7" s="7"/>
    </row>
    <row r="8" spans="1:6" ht="14.45" customHeight="1">
      <c r="A8" s="15" t="s">
        <v>0</v>
      </c>
      <c r="B8" s="23"/>
      <c r="C8" s="42"/>
      <c r="D8" s="17"/>
      <c r="E8" s="16"/>
      <c r="F8" s="18" t="s">
        <v>1</v>
      </c>
    </row>
    <row r="9" spans="1:6">
      <c r="A9" s="19"/>
      <c r="B9" s="20"/>
      <c r="C9" s="40"/>
      <c r="D9" s="21"/>
      <c r="E9" s="20"/>
      <c r="F9" s="20"/>
    </row>
    <row r="10" spans="1:6" s="12" customFormat="1">
      <c r="A10" s="65">
        <f>'Takeoff Sheet'!A8</f>
        <v>1</v>
      </c>
      <c r="B10" s="65" t="str">
        <f>'Takeoff Sheet'!B8</f>
        <v>GENERAL REQUIREMENTS</v>
      </c>
      <c r="C10" s="41">
        <f>'Pricing List for Tender'!H17</f>
        <v>0</v>
      </c>
      <c r="D10" s="8"/>
      <c r="E10" s="8"/>
      <c r="F10" s="67">
        <f>SUM('Pricing List for Tender'!H11:H15)</f>
        <v>0</v>
      </c>
    </row>
    <row r="11" spans="1:6" s="12" customFormat="1">
      <c r="A11" s="65">
        <f>'Takeoff Sheet'!A17</f>
        <v>2</v>
      </c>
      <c r="B11" s="65" t="str">
        <f>'Takeoff Sheet'!B17</f>
        <v>PRELIMINARIES</v>
      </c>
      <c r="C11" s="39"/>
      <c r="D11" s="7"/>
      <c r="E11" s="6"/>
      <c r="F11" s="62">
        <f>SUM('Pricing List for Tender'!H20:H24)</f>
        <v>0</v>
      </c>
    </row>
    <row r="12" spans="1:6" s="12" customFormat="1">
      <c r="A12" s="65">
        <f>'Takeoff Sheet'!A25</f>
        <v>3</v>
      </c>
      <c r="B12" s="65" t="str">
        <f>'Takeoff Sheet'!B25</f>
        <v>BOUNDARY WORKS</v>
      </c>
      <c r="C12" s="39"/>
      <c r="D12" s="7"/>
      <c r="E12" s="6"/>
      <c r="F12" s="62">
        <f>SUM('Pricing List for Tender'!H29:H38)</f>
        <v>0</v>
      </c>
    </row>
    <row r="13" spans="1:6" s="12" customFormat="1">
      <c r="A13" s="65">
        <f>'Takeoff Sheet'!A39</f>
        <v>4</v>
      </c>
      <c r="B13" s="65" t="str">
        <f>'Takeoff Sheet'!B39</f>
        <v>GROUNDWORKS</v>
      </c>
      <c r="C13" s="39"/>
      <c r="D13" s="7"/>
      <c r="E13" s="6"/>
      <c r="F13" s="62">
        <f>SUM('Pricing List for Tender'!H42:H50)</f>
        <v>0</v>
      </c>
    </row>
    <row r="14" spans="1:6">
      <c r="A14" s="65">
        <f>'Takeoff Sheet'!A52</f>
        <v>5</v>
      </c>
      <c r="B14" s="65" t="str">
        <f>'Takeoff Sheet'!B52</f>
        <v>CONCRETE WORKS</v>
      </c>
      <c r="D14" s="7"/>
      <c r="F14" s="62">
        <f>SUM('Pricing List for Tender'!H55:H94)</f>
        <v>0</v>
      </c>
    </row>
    <row r="15" spans="1:6" s="12" customFormat="1">
      <c r="A15" s="65">
        <f>'Takeoff Sheet'!A84</f>
        <v>6</v>
      </c>
      <c r="B15" s="65" t="str">
        <f>'Takeoff Sheet'!B84</f>
        <v>STEELWORKS</v>
      </c>
      <c r="C15" s="39"/>
      <c r="D15" s="7"/>
      <c r="E15" s="6"/>
      <c r="F15" s="62">
        <f>SUM('Pricing List for Tender'!H96:H115)</f>
        <v>0</v>
      </c>
    </row>
    <row r="16" spans="1:6">
      <c r="A16" s="65">
        <f>'Takeoff Sheet'!A109</f>
        <v>7</v>
      </c>
      <c r="B16" s="65" t="str">
        <f>'Takeoff Sheet'!B109</f>
        <v>BRICKWORK</v>
      </c>
      <c r="D16" s="7"/>
      <c r="F16" s="62">
        <f>SUM('Pricing List for Tender'!H120)</f>
        <v>0</v>
      </c>
    </row>
    <row r="17" spans="1:6">
      <c r="A17" s="65">
        <f>'Takeoff Sheet'!A119</f>
        <v>8</v>
      </c>
      <c r="B17" s="65" t="str">
        <f>'Takeoff Sheet'!B119</f>
        <v>TIMBERWORKS</v>
      </c>
      <c r="D17" s="7"/>
      <c r="F17" s="62">
        <f>SUM('Pricing List for Tender'!H126:H163)</f>
        <v>0</v>
      </c>
    </row>
    <row r="18" spans="1:6">
      <c r="A18" s="65">
        <f>'Pricing List for Tender'!A166</f>
        <v>9</v>
      </c>
      <c r="B18" s="65" t="str">
        <f>'Pricing List for Tender'!B166</f>
        <v>BOARDS</v>
      </c>
      <c r="D18" s="7"/>
      <c r="F18" s="62">
        <f>SUM('Pricing List for Tender'!H168:H172)</f>
        <v>0</v>
      </c>
    </row>
    <row r="19" spans="1:6">
      <c r="A19" s="65">
        <f>'Takeoff Sheet'!A175</f>
        <v>10</v>
      </c>
      <c r="B19" s="65" t="str">
        <f>'Takeoff Sheet'!B175</f>
        <v>FLOOR WORKS</v>
      </c>
      <c r="D19" s="7"/>
      <c r="F19" s="62">
        <f>SUM('Pricing List for Tender'!H175:H195)</f>
        <v>0</v>
      </c>
    </row>
    <row r="20" spans="1:6">
      <c r="A20" s="65">
        <f>'Takeoff Sheet'!A203</f>
        <v>11</v>
      </c>
      <c r="B20" s="65" t="str">
        <f>'Takeoff Sheet'!B203</f>
        <v>HARDWARE</v>
      </c>
      <c r="D20" s="7"/>
      <c r="F20" s="62">
        <f>SUM('Pricing List for Tender'!H197:H215)</f>
        <v>0</v>
      </c>
    </row>
    <row r="21" spans="1:6">
      <c r="A21" s="65">
        <f>'Takeoff Sheet'!A224</f>
        <v>12</v>
      </c>
      <c r="B21" s="66" t="str">
        <f>'Takeoff Sheet'!B224</f>
        <v>PAINT WORKS</v>
      </c>
      <c r="D21" s="7"/>
      <c r="F21" s="62">
        <f>SUM('Pricing List for Tender'!H219:H226)</f>
        <v>0</v>
      </c>
    </row>
    <row r="22" spans="1:6">
      <c r="A22" s="65">
        <f>'Takeoff Sheet'!A234</f>
        <v>13</v>
      </c>
      <c r="B22" s="66" t="str">
        <f>'Takeoff Sheet'!B234</f>
        <v>PLUMBING WORKS</v>
      </c>
      <c r="D22" s="7"/>
      <c r="F22" s="62">
        <f>SUM('Pricing List for Tender'!H231:H290)</f>
        <v>0</v>
      </c>
    </row>
    <row r="23" spans="1:6">
      <c r="A23" s="65">
        <f>'Takeoff Sheet'!A293</f>
        <v>14</v>
      </c>
      <c r="B23" s="65" t="str">
        <f>'Takeoff Sheet'!B293</f>
        <v>ELECTRICAL COMPONENTS</v>
      </c>
      <c r="D23" s="7"/>
      <c r="F23" s="62">
        <f>SUM('Pricing List for Tender'!H296:H341)</f>
        <v>0</v>
      </c>
    </row>
    <row r="24" spans="1:6">
      <c r="A24" s="65">
        <f>'Takeoff Sheet'!A317</f>
        <v>15</v>
      </c>
      <c r="B24" s="65" t="str">
        <f>'Takeoff Sheet'!B317</f>
        <v>FIXINGS AND FASTNERS</v>
      </c>
      <c r="D24" s="7"/>
      <c r="F24" s="62">
        <f>SUM('Pricing List for Tender'!H345:H376)</f>
        <v>0</v>
      </c>
    </row>
    <row r="25" spans="1:6">
      <c r="A25" s="65" t="e">
        <f>'Pricing List for Tender'!#REF!</f>
        <v>#REF!</v>
      </c>
      <c r="B25" s="65" t="e">
        <f>'Pricing List for Tender'!#REF!</f>
        <v>#REF!</v>
      </c>
      <c r="D25" s="7"/>
      <c r="F25" s="62" t="e">
        <f>SUM('Pricing List for Tender'!#REF!)</f>
        <v>#REF!</v>
      </c>
    </row>
    <row r="26" spans="1:6">
      <c r="A26" s="65" t="e">
        <f>'Pricing List for Tender'!#REF!</f>
        <v>#REF!</v>
      </c>
      <c r="B26" s="65" t="e">
        <f>'Pricing List for Tender'!#REF!</f>
        <v>#REF!</v>
      </c>
      <c r="F26" s="163" t="e">
        <f>'Pricing List for Tender'!#REF!</f>
        <v>#REF!</v>
      </c>
    </row>
    <row r="28" spans="1:6">
      <c r="B28" s="66" t="s">
        <v>195</v>
      </c>
      <c r="F28" s="56" t="e">
        <f>SUM(F13:F26)</f>
        <v>#REF!</v>
      </c>
    </row>
    <row r="30" spans="1:6" hidden="1">
      <c r="B30" s="55" t="s">
        <v>288</v>
      </c>
      <c r="F30" s="56" t="e">
        <f>F28*15%</f>
        <v>#REF!</v>
      </c>
    </row>
    <row r="31" spans="1:6" hidden="1"/>
    <row r="32" spans="1:6" hidden="1">
      <c r="B32" s="55" t="s">
        <v>287</v>
      </c>
      <c r="F32" s="56" t="e">
        <f>SUM(F28:F30)</f>
        <v>#REF!</v>
      </c>
    </row>
    <row r="33" spans="2:6" hidden="1"/>
    <row r="34" spans="2:6" hidden="1">
      <c r="B34" s="55" t="s">
        <v>287</v>
      </c>
      <c r="F34" s="62" t="e">
        <f>SUM(F28:F32)</f>
        <v>#REF!</v>
      </c>
    </row>
    <row r="35" spans="2:6" hidden="1">
      <c r="F35" s="62"/>
    </row>
    <row r="36" spans="2:6" hidden="1">
      <c r="B36" s="55" t="s">
        <v>196</v>
      </c>
      <c r="F36" s="62" t="e">
        <f>F34*20%</f>
        <v>#REF!</v>
      </c>
    </row>
    <row r="37" spans="2:6" hidden="1">
      <c r="F37" s="62"/>
    </row>
    <row r="38" spans="2:6" hidden="1">
      <c r="B38" s="55" t="s">
        <v>197</v>
      </c>
      <c r="F38" s="62" t="e">
        <f>F34+F36</f>
        <v>#REF!</v>
      </c>
    </row>
    <row r="39" spans="2:6" hidden="1">
      <c r="F39" s="62"/>
    </row>
    <row r="40" spans="2:6" hidden="1">
      <c r="B40" s="55" t="s">
        <v>200</v>
      </c>
      <c r="F40" s="62" t="e">
        <f>F38*7%</f>
        <v>#REF!</v>
      </c>
    </row>
    <row r="41" spans="2:6" hidden="1"/>
    <row r="42" spans="2:6" ht="29.1" hidden="1" customHeight="1" thickBot="1">
      <c r="B42" s="61" t="s">
        <v>198</v>
      </c>
      <c r="C42" s="58"/>
      <c r="D42" s="59"/>
      <c r="E42" s="60"/>
      <c r="F42" s="61" t="e">
        <f>F38+F40</f>
        <v>#REF!</v>
      </c>
    </row>
  </sheetData>
  <phoneticPr fontId="20" type="noConversion"/>
  <printOptions horizontalCentered="1"/>
  <pageMargins left="0.25" right="0.25" top="0.75" bottom="0.75" header="0.3" footer="0.3"/>
  <pageSetup paperSize="9"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Rates &amp; Constants</vt:lpstr>
      <vt:lpstr>Takeoff Sheet</vt:lpstr>
      <vt:lpstr>Pricing List for Tender</vt:lpstr>
      <vt:lpstr>Bill of Material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2017-08-27T09:15:33Z</cp:lastPrinted>
  <dcterms:created xsi:type="dcterms:W3CDTF">2006-09-16T00:00:00Z</dcterms:created>
  <dcterms:modified xsi:type="dcterms:W3CDTF">2024-03-18T00:31:13Z</dcterms:modified>
</cp:coreProperties>
</file>